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ttps://uofnelincoln-my.sharepoint.com/personal/gmcclure3_unl_edu/Documents/Livestock budgets/Sheep and Goats/2021 Sheep and Goat Budgets/"/>
    </mc:Choice>
  </mc:AlternateContent>
  <xr:revisionPtr revIDLastSave="0" documentId="14_{A202111A-E70B-4F1C-B966-494E33272784}" xr6:coauthVersionLast="47" xr6:coauthVersionMax="47" xr10:uidLastSave="{00000000-0000-0000-0000-000000000000}"/>
  <bookViews>
    <workbookView xWindow="29580" yWindow="780" windowWidth="21600" windowHeight="11385" activeTab="2" xr2:uid="{CA6E196F-256B-4E98-912D-3E12FF56185F}"/>
  </bookViews>
  <sheets>
    <sheet name="Title Page" sheetId="2" r:id="rId1"/>
    <sheet name="Instructions" sheetId="11" r:id="rId2"/>
    <sheet name="Summary Budget" sheetId="1" r:id="rId3"/>
    <sheet name="Production Parameters" sheetId="4" r:id="rId4"/>
    <sheet name="Revenue" sheetId="5" r:id="rId5"/>
    <sheet name="Expenses - Variable" sheetId="6" r:id="rId6"/>
    <sheet name="Expenses - Fixed" sheetId="7" r:id="rId7"/>
    <sheet name="Taxes" sheetId="9" r:id="rId8"/>
    <sheet name="Non-Farm Adjustments" sheetId="8" r:id="rId9"/>
    <sheet name="Historical Budgets" sheetId="3"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4" i="5" l="1"/>
  <c r="C27" i="4"/>
  <c r="C9" i="4" l="1"/>
  <c r="C28" i="1" l="1"/>
  <c r="C27" i="1"/>
  <c r="G7" i="8"/>
  <c r="G23" i="8"/>
  <c r="E40" i="1"/>
  <c r="C17" i="7"/>
  <c r="C15" i="7"/>
  <c r="C14" i="7"/>
  <c r="C13" i="7"/>
  <c r="G7" i="7"/>
  <c r="H33" i="4"/>
  <c r="H34" i="4" s="1"/>
  <c r="G8" i="7" s="1"/>
  <c r="G10" i="7"/>
  <c r="C10" i="7"/>
  <c r="C7" i="7"/>
  <c r="C18" i="4"/>
  <c r="C41" i="4"/>
  <c r="C30" i="1"/>
  <c r="G32" i="7"/>
  <c r="E28" i="1" s="1"/>
  <c r="F28" i="1" s="1"/>
  <c r="C30" i="7"/>
  <c r="C29" i="7"/>
  <c r="C47" i="4"/>
  <c r="C48" i="6"/>
  <c r="B48" i="6"/>
  <c r="C47" i="6"/>
  <c r="C43" i="6"/>
  <c r="L12" i="4"/>
  <c r="E48" i="6"/>
  <c r="H20" i="4"/>
  <c r="H44" i="6"/>
  <c r="H45" i="6"/>
  <c r="H46" i="6"/>
  <c r="H49" i="6"/>
  <c r="H50" i="6"/>
  <c r="H36" i="6"/>
  <c r="H37" i="6"/>
  <c r="H38" i="6"/>
  <c r="H39" i="6"/>
  <c r="H41" i="6"/>
  <c r="H35" i="6"/>
  <c r="C77" i="6"/>
  <c r="E77" i="6" s="1"/>
  <c r="C78" i="6"/>
  <c r="E78" i="6" s="1"/>
  <c r="C76" i="6"/>
  <c r="E76" i="6"/>
  <c r="C75" i="6"/>
  <c r="E75" i="6"/>
  <c r="D76" i="6"/>
  <c r="D77" i="6"/>
  <c r="D78" i="6"/>
  <c r="D75" i="6"/>
  <c r="C21" i="5"/>
  <c r="G21" i="5" s="1"/>
  <c r="C20" i="5"/>
  <c r="F44" i="6"/>
  <c r="F45" i="6"/>
  <c r="F46" i="6"/>
  <c r="F47" i="6"/>
  <c r="F43" i="6"/>
  <c r="D44" i="6"/>
  <c r="D45" i="6"/>
  <c r="D46" i="6"/>
  <c r="D47" i="6"/>
  <c r="D43" i="6"/>
  <c r="B44" i="6"/>
  <c r="B45" i="6"/>
  <c r="B46" i="6"/>
  <c r="B47" i="6"/>
  <c r="B43" i="6"/>
  <c r="F36" i="6"/>
  <c r="F37" i="6"/>
  <c r="F38" i="6"/>
  <c r="F39" i="6"/>
  <c r="F35" i="6"/>
  <c r="D36" i="6"/>
  <c r="D37" i="6"/>
  <c r="D38" i="6"/>
  <c r="D39" i="6"/>
  <c r="D35" i="6"/>
  <c r="B35" i="6"/>
  <c r="B36" i="6"/>
  <c r="B37" i="6"/>
  <c r="B38" i="6"/>
  <c r="B39" i="6"/>
  <c r="C25" i="7"/>
  <c r="C8" i="6"/>
  <c r="C7" i="6"/>
  <c r="H7" i="6" s="1"/>
  <c r="C6" i="6"/>
  <c r="C14" i="5"/>
  <c r="E10" i="1" s="1"/>
  <c r="F10" i="1" s="1"/>
  <c r="C11" i="5"/>
  <c r="C33" i="4"/>
  <c r="C40" i="1"/>
  <c r="G10" i="9"/>
  <c r="G11" i="9"/>
  <c r="G12" i="9"/>
  <c r="G13" i="9"/>
  <c r="G14" i="9"/>
  <c r="G15" i="9"/>
  <c r="G9" i="9"/>
  <c r="G2" i="8"/>
  <c r="F40" i="1"/>
  <c r="G19" i="8"/>
  <c r="G20" i="8"/>
  <c r="G21" i="8"/>
  <c r="G18" i="8"/>
  <c r="G8" i="8"/>
  <c r="G9" i="8"/>
  <c r="G10" i="8"/>
  <c r="G11" i="8"/>
  <c r="G12" i="8"/>
  <c r="H73" i="6"/>
  <c r="H63" i="6"/>
  <c r="H69" i="6"/>
  <c r="D66" i="6"/>
  <c r="C66" i="6"/>
  <c r="H66" i="6" s="1"/>
  <c r="F6" i="9"/>
  <c r="C23" i="1"/>
  <c r="C21" i="1"/>
  <c r="C20" i="1"/>
  <c r="H52" i="6"/>
  <c r="C8" i="5"/>
  <c r="G8" i="5"/>
  <c r="G25" i="5"/>
  <c r="G26" i="5"/>
  <c r="G24" i="5"/>
  <c r="G28" i="5" s="1"/>
  <c r="E13" i="1" s="1"/>
  <c r="F13" i="1" s="1"/>
  <c r="C19" i="1"/>
  <c r="H10" i="6"/>
  <c r="H13" i="6" s="1"/>
  <c r="H11" i="6"/>
  <c r="H12" i="6"/>
  <c r="G17" i="9"/>
  <c r="G2" i="9" s="1"/>
  <c r="E33" i="1" s="1"/>
  <c r="F33" i="1" s="1"/>
  <c r="C15" i="1"/>
  <c r="C13" i="1"/>
  <c r="C12" i="1"/>
  <c r="C9" i="1"/>
  <c r="C8" i="1"/>
  <c r="C7" i="1"/>
  <c r="H33" i="6"/>
  <c r="H83" i="6"/>
  <c r="H84" i="6"/>
  <c r="H86" i="6"/>
  <c r="H26" i="6"/>
  <c r="C80" i="6"/>
  <c r="H80" i="6"/>
  <c r="H8" i="6"/>
  <c r="D62" i="6"/>
  <c r="D61" i="6"/>
  <c r="D81" i="6"/>
  <c r="D82" i="6"/>
  <c r="D65" i="6"/>
  <c r="D72" i="6"/>
  <c r="D71" i="6"/>
  <c r="D80" i="6"/>
  <c r="C81" i="6"/>
  <c r="H81" i="6" s="1"/>
  <c r="C82" i="6"/>
  <c r="C65" i="6"/>
  <c r="H65" i="6"/>
  <c r="C72" i="6"/>
  <c r="E72" i="6"/>
  <c r="C71" i="6"/>
  <c r="E71" i="6"/>
  <c r="H82" i="6"/>
  <c r="C62" i="6"/>
  <c r="H62" i="6"/>
  <c r="C61" i="6"/>
  <c r="H61" i="6"/>
  <c r="H21" i="6"/>
  <c r="H24" i="7"/>
  <c r="F30" i="6"/>
  <c r="F40" i="6"/>
  <c r="E40" i="6"/>
  <c r="B40" i="6"/>
  <c r="H32" i="6"/>
  <c r="F29" i="6"/>
  <c r="F31" i="6"/>
  <c r="F32" i="6"/>
  <c r="F28" i="6"/>
  <c r="D29" i="6"/>
  <c r="D30" i="6"/>
  <c r="D31" i="6"/>
  <c r="D32" i="6"/>
  <c r="D28" i="6"/>
  <c r="F22" i="6"/>
  <c r="F23" i="6"/>
  <c r="F24" i="6"/>
  <c r="F25" i="6"/>
  <c r="F21" i="6"/>
  <c r="D23" i="6"/>
  <c r="D24" i="6"/>
  <c r="D25" i="6"/>
  <c r="D21" i="6"/>
  <c r="D22" i="6"/>
  <c r="B29" i="6"/>
  <c r="B30" i="6"/>
  <c r="B31" i="6"/>
  <c r="B32" i="6"/>
  <c r="B28" i="6"/>
  <c r="B22" i="6"/>
  <c r="B23" i="6"/>
  <c r="B24" i="6"/>
  <c r="B25" i="6"/>
  <c r="B21" i="6"/>
  <c r="L8" i="4"/>
  <c r="L9" i="4"/>
  <c r="E46" i="6" s="1"/>
  <c r="L10" i="4"/>
  <c r="L11" i="4"/>
  <c r="L7" i="4"/>
  <c r="L6" i="4"/>
  <c r="E21" i="6"/>
  <c r="E43" i="6"/>
  <c r="E35" i="6"/>
  <c r="E38" i="6"/>
  <c r="E22" i="6"/>
  <c r="H22" i="6"/>
  <c r="E44" i="6"/>
  <c r="E36" i="6"/>
  <c r="E30" i="6"/>
  <c r="H30" i="6"/>
  <c r="E37" i="6"/>
  <c r="E45" i="6"/>
  <c r="E25" i="6"/>
  <c r="H25" i="6"/>
  <c r="E47" i="6"/>
  <c r="E39" i="6"/>
  <c r="E23" i="6"/>
  <c r="H23" i="6" s="1"/>
  <c r="E28" i="6"/>
  <c r="H28" i="6"/>
  <c r="E29" i="6"/>
  <c r="H29" i="6" s="1"/>
  <c r="E32" i="6"/>
  <c r="H6" i="6"/>
  <c r="G11" i="5"/>
  <c r="E8" i="1" s="1"/>
  <c r="F8" i="1" s="1"/>
  <c r="G20" i="5"/>
  <c r="E12" i="1" s="1"/>
  <c r="F12" i="1" s="1"/>
  <c r="E7" i="1"/>
  <c r="F7" i="1"/>
  <c r="C22" i="4"/>
  <c r="C26" i="4"/>
  <c r="H40" i="6" s="1"/>
  <c r="C8" i="7" l="1"/>
  <c r="H41" i="4"/>
  <c r="H42" i="4" s="1"/>
  <c r="G9" i="7" s="1"/>
  <c r="C9" i="7" s="1"/>
  <c r="E24" i="6"/>
  <c r="H24" i="6" s="1"/>
  <c r="E31" i="6"/>
  <c r="H31" i="6" s="1"/>
  <c r="H15" i="6"/>
  <c r="E19" i="1" s="1"/>
  <c r="F19" i="1" s="1"/>
  <c r="C36" i="4"/>
  <c r="G19" i="7" l="1"/>
  <c r="C17" i="5"/>
  <c r="G17" i="5" s="1"/>
  <c r="C67" i="6"/>
  <c r="H67" i="6" s="1"/>
  <c r="H43" i="6"/>
  <c r="H48" i="6"/>
  <c r="C68" i="6"/>
  <c r="H68" i="6" s="1"/>
  <c r="C16" i="5"/>
  <c r="G16" i="5" s="1"/>
  <c r="H47" i="6"/>
  <c r="H56" i="6" l="1"/>
  <c r="E20" i="1" s="1"/>
  <c r="F20" i="1" s="1"/>
  <c r="E27" i="1"/>
  <c r="F27" i="1" s="1"/>
  <c r="G2" i="7"/>
  <c r="E30" i="1" s="1"/>
  <c r="F30" i="1" s="1"/>
  <c r="E11" i="1"/>
  <c r="F11" i="1" s="1"/>
  <c r="G30" i="5"/>
  <c r="G2" i="5" s="1"/>
  <c r="E15" i="1" s="1"/>
  <c r="F15" i="1" s="1"/>
  <c r="H88" i="6"/>
  <c r="E21" i="1" l="1"/>
  <c r="F21" i="1" s="1"/>
  <c r="H2" i="6"/>
  <c r="E23" i="1" s="1"/>
  <c r="F23" i="1" l="1"/>
  <c r="E35" i="1"/>
  <c r="E51" i="1" l="1"/>
  <c r="F51" i="1" s="1"/>
  <c r="E49" i="1"/>
  <c r="F49" i="1" s="1"/>
  <c r="F35" i="1"/>
  <c r="E37" i="1"/>
  <c r="E52" i="1"/>
  <c r="F52" i="1" s="1"/>
  <c r="E42" i="1" l="1"/>
  <c r="F37" i="1"/>
  <c r="F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Glennis McClure</author>
  </authors>
  <commentList>
    <comment ref="E49" authorId="0" shapeId="0" xr:uid="{98C14724-747C-4599-A7E4-983077DB35D2}">
      <text>
        <r>
          <rPr>
            <b/>
            <sz val="9"/>
            <color indexed="81"/>
            <rFont val="Tahoma"/>
            <family val="2"/>
          </rPr>
          <t>Glennis McClure:</t>
        </r>
        <r>
          <rPr>
            <sz val="9"/>
            <color indexed="81"/>
            <rFont val="Tahoma"/>
            <family val="2"/>
          </rPr>
          <t xml:space="preserve">
All expenses (excluding finishing expenses) divided by total weight of weaned lambs.</t>
        </r>
      </text>
    </comment>
    <comment ref="E51" authorId="0" shapeId="0" xr:uid="{066ECF33-7C96-4DD9-B904-F17AE432A6FC}">
      <text>
        <r>
          <rPr>
            <b/>
            <sz val="9"/>
            <color indexed="81"/>
            <rFont val="Tahoma"/>
            <family val="2"/>
          </rPr>
          <t>Glennis McClure:</t>
        </r>
        <r>
          <rPr>
            <sz val="9"/>
            <color indexed="81"/>
            <rFont val="Tahoma"/>
            <family val="2"/>
          </rPr>
          <t xml:space="preserve">
All expenses times percent sold by live weight divided by total finished lamb lbs. sold on a live weight basis.</t>
        </r>
      </text>
    </comment>
    <comment ref="E52" authorId="0" shapeId="0" xr:uid="{DE2B72F5-2E9A-424B-B014-70F9C3B0D68A}">
      <text>
        <r>
          <rPr>
            <b/>
            <sz val="9"/>
            <color indexed="81"/>
            <rFont val="Tahoma"/>
            <family val="2"/>
          </rPr>
          <t>Glennis McClure:</t>
        </r>
        <r>
          <rPr>
            <sz val="9"/>
            <color indexed="81"/>
            <rFont val="Tahoma"/>
            <family val="2"/>
          </rPr>
          <t xml:space="preserve">
All expenses times percent sold by carcass weight divided by total finished lamb lbs. sold by a carcass weight basis.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Glennis McClure</author>
  </authors>
  <commentList>
    <comment ref="C5" authorId="0" shapeId="0" xr:uid="{FDEDFF96-D628-4C9B-B7B6-9D50269C18E8}">
      <text>
        <r>
          <rPr>
            <b/>
            <sz val="9"/>
            <color indexed="81"/>
            <rFont val="Tahoma"/>
            <family val="2"/>
          </rPr>
          <t>Glennis McClure:</t>
        </r>
        <r>
          <rPr>
            <sz val="9"/>
            <color indexed="81"/>
            <rFont val="Tahoma"/>
            <family val="2"/>
          </rPr>
          <t xml:space="preserve">
These quantities carry over from Production Parameter entries and are figured on a hundredweight basis.  </t>
        </r>
      </text>
    </comment>
    <comment ref="C8" authorId="0" shapeId="0" xr:uid="{35282FDA-3337-4C78-BE81-DD6E4813A226}">
      <text>
        <r>
          <rPr>
            <b/>
            <sz val="9"/>
            <color indexed="81"/>
            <rFont val="Tahoma"/>
            <family val="2"/>
          </rPr>
          <t>Glennis McClure:</t>
        </r>
        <r>
          <rPr>
            <sz val="9"/>
            <color indexed="81"/>
            <rFont val="Tahoma"/>
            <family val="2"/>
          </rPr>
          <t xml:space="preserve">
25 cull ewes @ 170 lbs each = 4250 lbs or 42.5 cwt. </t>
        </r>
      </text>
    </comment>
    <comment ref="C11" authorId="0" shapeId="0" xr:uid="{C368A912-F65A-4CED-B273-F44DF885645B}">
      <text>
        <r>
          <rPr>
            <b/>
            <sz val="9"/>
            <color indexed="81"/>
            <rFont val="Tahoma"/>
            <family val="2"/>
          </rPr>
          <t>Glennis McClure:</t>
        </r>
        <r>
          <rPr>
            <sz val="9"/>
            <color indexed="81"/>
            <rFont val="Tahoma"/>
            <family val="2"/>
          </rPr>
          <t xml:space="preserve">
1 Ram culled each year x 300 lbs each/100 for cwt.   </t>
        </r>
      </text>
    </comment>
    <comment ref="C14" authorId="0" shapeId="0" xr:uid="{D5E911E0-E716-455A-B6B8-E8D318EE15ED}">
      <text>
        <r>
          <rPr>
            <b/>
            <sz val="9"/>
            <color indexed="81"/>
            <rFont val="Tahoma"/>
            <family val="2"/>
          </rPr>
          <t>Glennis McClure:</t>
        </r>
        <r>
          <rPr>
            <sz val="9"/>
            <color indexed="81"/>
            <rFont val="Tahoma"/>
            <family val="2"/>
          </rPr>
          <t xml:space="preserve">
(Number of head weaned x weaning weight) divided by 100.  This is a hundredweight figure.
</t>
        </r>
      </text>
    </comment>
    <comment ref="C16" authorId="0" shapeId="0" xr:uid="{B0478BCF-7889-4DF6-B31C-92BFA4A0E956}">
      <text>
        <r>
          <rPr>
            <b/>
            <sz val="9"/>
            <color indexed="81"/>
            <rFont val="Tahoma"/>
            <family val="2"/>
          </rPr>
          <t>Glennis McClure:</t>
        </r>
        <r>
          <rPr>
            <sz val="9"/>
            <color indexed="81"/>
            <rFont val="Tahoma"/>
            <family val="2"/>
          </rPr>
          <t xml:space="preserve">
(Number of lambs finished x finished weight)/100 to get cwt. Then multiply by % of finished lambs sold live.  </t>
        </r>
      </text>
    </comment>
    <comment ref="C17" authorId="0" shapeId="0" xr:uid="{18AC8388-C860-4D93-A08E-B8EAA19CAAF7}">
      <text>
        <r>
          <rPr>
            <b/>
            <sz val="9"/>
            <color indexed="81"/>
            <rFont val="Tahoma"/>
            <family val="2"/>
          </rPr>
          <t>Glennis McClure:</t>
        </r>
        <r>
          <rPr>
            <sz val="9"/>
            <color indexed="81"/>
            <rFont val="Tahoma"/>
            <family val="2"/>
          </rPr>
          <t xml:space="preserve">
(Number of lambs finished x finished weight)/100 to get cwt. Then multiply % of finished lambs sold carcass, then multiply by carcass yield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Glennis McClure</author>
  </authors>
  <commentList>
    <comment ref="B6" authorId="0" shapeId="0" xr:uid="{597B7F17-89F2-47F3-8288-9AC75C257796}">
      <text>
        <r>
          <rPr>
            <b/>
            <sz val="9"/>
            <color indexed="81"/>
            <rFont val="Tahoma"/>
            <family val="2"/>
          </rPr>
          <t>Glennis McClure:</t>
        </r>
        <r>
          <rPr>
            <sz val="9"/>
            <color indexed="81"/>
            <rFont val="Tahoma"/>
            <family val="2"/>
          </rPr>
          <t xml:space="preserve">
Depreciation of capital assets is a non-cash expense. Formula used here is the current value of the asset minus salvage value anticipated at end of ownership divided by years of ownership or depreciable life.  </t>
        </r>
      </text>
    </comment>
    <comment ref="B17" authorId="0" shapeId="0" xr:uid="{3989A5E3-B4AC-458B-B443-3A8B0B50ABB3}">
      <text>
        <r>
          <rPr>
            <b/>
            <sz val="9"/>
            <color indexed="81"/>
            <rFont val="Tahoma"/>
            <family val="2"/>
          </rPr>
          <t>Glennis McClure:</t>
        </r>
        <r>
          <rPr>
            <sz val="9"/>
            <color indexed="81"/>
            <rFont val="Tahoma"/>
            <family val="2"/>
          </rPr>
          <t xml:space="preserve">
Opportunity cost of interest is a non-cash expense based on value of investment in fixed assets used in the enterprise, mulitiplied by an interest rate that owner could receive if money not invested in the operation of this enterprise. If the owner has $70,000 of capital assets invested in this enterprise, then $70,000 x 2.5% interest = $1750 opportunity interest expense.  </t>
        </r>
      </text>
    </comment>
    <comment ref="B25" authorId="0" shapeId="0" xr:uid="{40AB4BC0-E8B7-4340-9557-1BBDCE26E6D2}">
      <text>
        <r>
          <rPr>
            <b/>
            <sz val="9"/>
            <color indexed="81"/>
            <rFont val="Tahoma"/>
            <family val="2"/>
          </rPr>
          <t>Glennis McClure:</t>
        </r>
        <r>
          <rPr>
            <sz val="9"/>
            <color indexed="81"/>
            <rFont val="Tahoma"/>
            <family val="2"/>
          </rPr>
          <t xml:space="preserve">
Overhead is additional expense items that the whole farm or ranch pays for such as accounting, general supplies, insurance, etc… Take the total of these expenses and charge the proper percentage to this enterprise. Example - $10000 of overhead with 30% charged to the sheep enterprise = $3000. </t>
        </r>
      </text>
    </comment>
    <comment ref="B28" authorId="0" shapeId="0" xr:uid="{442FD9E1-A770-41D5-8479-C67617E36C7D}">
      <text>
        <r>
          <rPr>
            <b/>
            <sz val="9"/>
            <color indexed="81"/>
            <rFont val="Tahoma"/>
            <family val="2"/>
          </rPr>
          <t>Glennis McClure:</t>
        </r>
        <r>
          <rPr>
            <sz val="9"/>
            <color indexed="81"/>
            <rFont val="Tahoma"/>
            <family val="2"/>
          </rPr>
          <t xml:space="preserve">
Don't duplicate this figure if already entered value in feed costs (AUM's)</t>
        </r>
      </text>
    </comment>
  </commentList>
</comments>
</file>

<file path=xl/sharedStrings.xml><?xml version="1.0" encoding="utf-8"?>
<sst xmlns="http://schemas.openxmlformats.org/spreadsheetml/2006/main" count="456" uniqueCount="260">
  <si>
    <t>Ewes</t>
  </si>
  <si>
    <t>Rams</t>
  </si>
  <si>
    <t>Feed</t>
  </si>
  <si>
    <t>Lambs</t>
  </si>
  <si>
    <t>Other</t>
  </si>
  <si>
    <t>Quantity</t>
  </si>
  <si>
    <t>Price</t>
  </si>
  <si>
    <t>Breeding Flock</t>
  </si>
  <si>
    <t>Ewes Culled Per Year</t>
  </si>
  <si>
    <t>Ewe Deaths Per Year</t>
  </si>
  <si>
    <t>Ewe-Related Sales</t>
  </si>
  <si>
    <t>Ram-Related Sales</t>
  </si>
  <si>
    <t>Rams Needed</t>
  </si>
  <si>
    <t>Ram Use (Years)</t>
  </si>
  <si>
    <t>Ram Death Loss Rate</t>
  </si>
  <si>
    <t>Lambs Weaned</t>
  </si>
  <si>
    <t>Lamb Weaning Weight</t>
  </si>
  <si>
    <t>Wool</t>
  </si>
  <si>
    <t>Ewe Wool Sold</t>
  </si>
  <si>
    <t>Units</t>
  </si>
  <si>
    <t>Cull Ewe Sale Weight</t>
  </si>
  <si>
    <t>Days Fed</t>
  </si>
  <si>
    <t>Grass Hay</t>
  </si>
  <si>
    <t>Alfalfa Hay</t>
  </si>
  <si>
    <t>Pasture</t>
  </si>
  <si>
    <t>Corn</t>
  </si>
  <si>
    <t>Creep Feed for baby lambs</t>
  </si>
  <si>
    <t>Replacement Ewes Purchased</t>
  </si>
  <si>
    <t>ewes</t>
  </si>
  <si>
    <t>pounds</t>
  </si>
  <si>
    <t>ram(s)</t>
  </si>
  <si>
    <t>years</t>
  </si>
  <si>
    <t>head/year</t>
  </si>
  <si>
    <t>Cull Ewe Sales</t>
  </si>
  <si>
    <t>head</t>
  </si>
  <si>
    <t>Cull Ram Sales</t>
  </si>
  <si>
    <t>Weaned Lambs (Purchased)</t>
  </si>
  <si>
    <t>Weaned Lamb Sales</t>
  </si>
  <si>
    <t>Purchased Unit</t>
  </si>
  <si>
    <t>Fed Unit</t>
  </si>
  <si>
    <t>Fed Unit per Purchased Unit</t>
  </si>
  <si>
    <t>As Fed Price</t>
  </si>
  <si>
    <t>ton</t>
  </si>
  <si>
    <t>Salt &amp; Mineral</t>
  </si>
  <si>
    <t>bag</t>
  </si>
  <si>
    <t>AUM</t>
  </si>
  <si>
    <t>bu</t>
  </si>
  <si>
    <t>day</t>
  </si>
  <si>
    <t>Ewe Feed</t>
  </si>
  <si>
    <t>Ram Feed</t>
  </si>
  <si>
    <t>Quantity per Animal per Year</t>
  </si>
  <si>
    <t>Per Unit</t>
  </si>
  <si>
    <t>cwt</t>
  </si>
  <si>
    <t>pound</t>
  </si>
  <si>
    <t>General Feed Information</t>
  </si>
  <si>
    <t>days</t>
  </si>
  <si>
    <t>Labor - Hired</t>
  </si>
  <si>
    <t>Fuel</t>
  </si>
  <si>
    <t>Veterinary and Medical</t>
  </si>
  <si>
    <t xml:space="preserve">Shearing Ewes </t>
  </si>
  <si>
    <t>Predator Control</t>
  </si>
  <si>
    <t>Dog Food</t>
  </si>
  <si>
    <t>Shearing Rams</t>
  </si>
  <si>
    <t>per ewe</t>
  </si>
  <si>
    <t>per ram</t>
  </si>
  <si>
    <t>Per Animal</t>
  </si>
  <si>
    <t>Animal Purchases</t>
  </si>
  <si>
    <t>Feed Expenses</t>
  </si>
  <si>
    <t>Wool Expenses</t>
  </si>
  <si>
    <t>Number of Animals</t>
  </si>
  <si>
    <t>Animal</t>
  </si>
  <si>
    <t>Price per Unit</t>
  </si>
  <si>
    <t>Annual Variable Costs</t>
  </si>
  <si>
    <t>Annual Sheep Budget</t>
  </si>
  <si>
    <t>General Flock Information</t>
  </si>
  <si>
    <t>Budget Instructions</t>
  </si>
  <si>
    <t>(2) DO NOT input numbers directly in the "Summary Budget" tab.</t>
  </si>
  <si>
    <t>Total "Other" Revenue</t>
  </si>
  <si>
    <t>Gross Revenue</t>
  </si>
  <si>
    <t>Revenue</t>
  </si>
  <si>
    <t>Other Revenue</t>
  </si>
  <si>
    <t>Total Annual Revenue</t>
  </si>
  <si>
    <t>Other Animal Purchases</t>
  </si>
  <si>
    <t>Total Animal Purchases</t>
  </si>
  <si>
    <t>units</t>
  </si>
  <si>
    <t>unit</t>
  </si>
  <si>
    <t>Total Other Animal Purchases</t>
  </si>
  <si>
    <t>Other Feed Expenses</t>
  </si>
  <si>
    <t>Total Feed Expenses</t>
  </si>
  <si>
    <t>Total Other Expenses</t>
  </si>
  <si>
    <t>Total Expenses - Variable</t>
  </si>
  <si>
    <t>Expenses - Variable</t>
  </si>
  <si>
    <t>Expenses - Fixed</t>
  </si>
  <si>
    <t>Per Ewe Revenue</t>
  </si>
  <si>
    <t>Total Annual Expenses - Fixed</t>
  </si>
  <si>
    <t>Total Annual Expenses - Variable</t>
  </si>
  <si>
    <t>Per Ewe Annual Expenses - Variable</t>
  </si>
  <si>
    <t>Per Ewe Annual Expenses - Fixed</t>
  </si>
  <si>
    <t>Marketing &amp; Risk Management</t>
  </si>
  <si>
    <t>Pasture, Rangeland, &amp; Forage Insurance</t>
  </si>
  <si>
    <t>Livestock Revenue Protection Insurance</t>
  </si>
  <si>
    <t>The American Lamb Checkoff</t>
  </si>
  <si>
    <t>Additional Marketing &amp; Hauling</t>
  </si>
  <si>
    <t>Other Marketing &amp; Risk Management Costs</t>
  </si>
  <si>
    <t>Other Wool Expenses</t>
  </si>
  <si>
    <t>per unit</t>
  </si>
  <si>
    <t>Additional Predator Control</t>
  </si>
  <si>
    <t>Other Predator Control</t>
  </si>
  <si>
    <t>Other Variable Expenses</t>
  </si>
  <si>
    <t>Other Fixed Expenses</t>
  </si>
  <si>
    <t>Taxes</t>
  </si>
  <si>
    <t>Non-Farm Adjustments</t>
  </si>
  <si>
    <t>Total Non-Farm Adjustments</t>
  </si>
  <si>
    <t>Off-Farm Wages</t>
  </si>
  <si>
    <t>Custom Feeding</t>
  </si>
  <si>
    <t>Custom Bailing</t>
  </si>
  <si>
    <t>Other Non-Farm Adjustments</t>
  </si>
  <si>
    <t>Total Revenue</t>
  </si>
  <si>
    <t>Total Adjustment Revenue</t>
  </si>
  <si>
    <t>Custom Grazing</t>
  </si>
  <si>
    <t>Total Taxes</t>
  </si>
  <si>
    <t>Unit</t>
  </si>
  <si>
    <t>Total Annual Taxes</t>
  </si>
  <si>
    <t>Per Ewe Taxes</t>
  </si>
  <si>
    <t>Overhead Expense</t>
  </si>
  <si>
    <t>Off-Farm Income</t>
  </si>
  <si>
    <t>Real Estate Tax</t>
  </si>
  <si>
    <t>Personal Propety Taxes</t>
  </si>
  <si>
    <t>Lambs Sold at Weaning</t>
  </si>
  <si>
    <t>Lamb Harvest Weight</t>
  </si>
  <si>
    <t>Lamb Death Loss Rate (Pre-Weaning)</t>
  </si>
  <si>
    <t>Lamb Death Loss Rate (Post-Weaning)</t>
  </si>
  <si>
    <t>Total Lambs Finished</t>
  </si>
  <si>
    <t>pounds per ewe</t>
  </si>
  <si>
    <t>Finished Lamb Sales</t>
  </si>
  <si>
    <t>Average Daily Gain</t>
  </si>
  <si>
    <t>pounds per day</t>
  </si>
  <si>
    <t>Cull Ram Sale Weight</t>
  </si>
  <si>
    <t>Replacement Ram Purchased</t>
  </si>
  <si>
    <t>Replacement Rams Purchased</t>
  </si>
  <si>
    <t>Replacement lambs purchased</t>
  </si>
  <si>
    <t>Ram Wool Sold</t>
  </si>
  <si>
    <t>pounds per ram</t>
  </si>
  <si>
    <t>per lamb</t>
  </si>
  <si>
    <t>lambs finished</t>
  </si>
  <si>
    <t>INTRODUCTION</t>
  </si>
  <si>
    <t>FOR MORE INFORMATION:</t>
  </si>
  <si>
    <t>Developed by:</t>
  </si>
  <si>
    <t>ACKNOWLEDGEMENTS:</t>
  </si>
  <si>
    <t>UNL-Sheep Budget Tool</t>
  </si>
  <si>
    <t>An Excel spreadsheet for evaluating the value of potential sheep production revenue, expenses, and profitability</t>
  </si>
  <si>
    <t>The University of Nebraska - Lincoln sheep budget tool was developed to help producers determine the value of sheep production. This tool is NOT intended to represent any one operation but rather market prices and average costs estimates.  Each individual operation should adjust key inputs and local market prices to reflect their own situation.</t>
  </si>
  <si>
    <t xml:space="preserve">   Weaned Lamb Sales</t>
  </si>
  <si>
    <t xml:space="preserve">   Finished Lamb Sales</t>
  </si>
  <si>
    <t>Net Revenue (Loss)</t>
  </si>
  <si>
    <t>Total Gross Revenue</t>
  </si>
  <si>
    <t>Total Expenses (Variable + Fixed + Taxes)</t>
  </si>
  <si>
    <t>Lambing Rate</t>
  </si>
  <si>
    <t>lambs per ewe</t>
  </si>
  <si>
    <t>Lambs Born</t>
  </si>
  <si>
    <t>Raised Replacement Ewes</t>
  </si>
  <si>
    <t>Carcass Yield</t>
  </si>
  <si>
    <t>Finished Lamb Breakeven Price ($/lb) Live Weight</t>
  </si>
  <si>
    <t>Finished Lamb Breaken Price ($/lb) Carcass Weight</t>
  </si>
  <si>
    <t>Weaned Lamb Breakeven Price ($/lb) Live Weight</t>
  </si>
  <si>
    <t>Breakeven Prices</t>
  </si>
  <si>
    <t>Pre-Weaning Lamb Feed</t>
  </si>
  <si>
    <t>Finishing Lamb Feed</t>
  </si>
  <si>
    <t>Ewe Wool Sales</t>
  </si>
  <si>
    <t>Ram Wool Sales</t>
  </si>
  <si>
    <t>lambs</t>
  </si>
  <si>
    <t>Annualized Fixed Expenses</t>
  </si>
  <si>
    <t>Repair Expenses</t>
  </si>
  <si>
    <t>Fencing Repairs</t>
  </si>
  <si>
    <t>Other Repairs</t>
  </si>
  <si>
    <t>Machinery, Equipment, Vehicle Repairs</t>
  </si>
  <si>
    <t>Housing Improvement &amp; Repairs</t>
  </si>
  <si>
    <t>ewes per acre</t>
  </si>
  <si>
    <t>acres</t>
  </si>
  <si>
    <t>panel</t>
  </si>
  <si>
    <t>feet</t>
  </si>
  <si>
    <t>post</t>
  </si>
  <si>
    <t>Grazing Land</t>
  </si>
  <si>
    <t>Stocking Density</t>
  </si>
  <si>
    <t>Total Fence Posts</t>
  </si>
  <si>
    <t>posts</t>
  </si>
  <si>
    <t>Total Post Cost</t>
  </si>
  <si>
    <t>Fencing Posts</t>
  </si>
  <si>
    <t>Fencing Panels</t>
  </si>
  <si>
    <t>Cost per panel</t>
  </si>
  <si>
    <t>Cost per post</t>
  </si>
  <si>
    <t>Total Panel Cost</t>
  </si>
  <si>
    <t>Total Fence Panels</t>
  </si>
  <si>
    <t>panels</t>
  </si>
  <si>
    <t>Depreciable Life</t>
  </si>
  <si>
    <t>Fence Posts</t>
  </si>
  <si>
    <t>Fence Panels</t>
  </si>
  <si>
    <t>lbs/lamb</t>
  </si>
  <si>
    <t>34% protein finishing supplement</t>
  </si>
  <si>
    <t>Lamb Finishing Ration</t>
  </si>
  <si>
    <t>34% protein supplement</t>
  </si>
  <si>
    <t>lbs/lamb/day</t>
  </si>
  <si>
    <t>Land Rent</t>
  </si>
  <si>
    <t>Other Annualized Fixed Expenses</t>
  </si>
  <si>
    <t>Sale Price Above Breakeven ($/lb)</t>
  </si>
  <si>
    <t>Breakeven Price ($/lb)</t>
  </si>
  <si>
    <t>Finishing Breakeven Prices</t>
  </si>
  <si>
    <t>Weaned Breakeven Prices</t>
  </si>
  <si>
    <t>Live Weight</t>
  </si>
  <si>
    <t>Carcass Weight</t>
  </si>
  <si>
    <t>Lamb Sales</t>
  </si>
  <si>
    <t>All expenses times percent sold by live weight divided by total finished lamb lbs. sold by a live weight basis.</t>
  </si>
  <si>
    <t xml:space="preserve">All expenses times percent sold by carcass weight divided by total finished lamb  lbs. sold by a carcass weight basis. </t>
  </si>
  <si>
    <t>Panel Length</t>
  </si>
  <si>
    <t>Grand Total Revenue (Loss)</t>
  </si>
  <si>
    <t>Total Annual Adjustments</t>
  </si>
  <si>
    <t>Per Ewe Adjustments</t>
  </si>
  <si>
    <t>Raised Replacement Rams</t>
  </si>
  <si>
    <t>All expenses (excluding finishing expenses) divided by total weight of weaned lambs.</t>
  </si>
  <si>
    <t xml:space="preserve">Weaning </t>
  </si>
  <si>
    <t>Feeding</t>
  </si>
  <si>
    <t>Marketing</t>
  </si>
  <si>
    <t>Percent of finished lambs sold Live</t>
  </si>
  <si>
    <t>Percent of finished lambs sold Carcass</t>
  </si>
  <si>
    <t xml:space="preserve">Total  </t>
  </si>
  <si>
    <t xml:space="preserve">Per Ewe  </t>
  </si>
  <si>
    <t>Breakeven Price Calculations Explanation</t>
  </si>
  <si>
    <t xml:space="preserve">(1) The "Summary Budget" tab includes total income, total costs, and net revenue, plus breakeven calculations.  </t>
  </si>
  <si>
    <t>(3) Instead, input numbers directly into "Production Parameters", "Revenue", "Expenses - Variable", "Expenses - Fixed", "Non-Farm Adjustments", and "Taxes" tabs.</t>
  </si>
  <si>
    <t>As Fed Intake</t>
  </si>
  <si>
    <t xml:space="preserve">Operating Interest </t>
  </si>
  <si>
    <t>Fixed Asset Values</t>
  </si>
  <si>
    <t>Annualized Fencing Expenses (Depreciation)</t>
  </si>
  <si>
    <t xml:space="preserve">Land </t>
  </si>
  <si>
    <t>Buildings / Barn</t>
  </si>
  <si>
    <t>Machinery &amp; Equipment Used for Enterprise</t>
  </si>
  <si>
    <t>Buildings /Barn</t>
  </si>
  <si>
    <t>Value</t>
  </si>
  <si>
    <t xml:space="preserve">Opportunity Interest Expense </t>
  </si>
  <si>
    <t>Other Expenses: Fixed and Overhead</t>
  </si>
  <si>
    <t>Overhead Expenses</t>
  </si>
  <si>
    <t>Other Annualized Expenses</t>
  </si>
  <si>
    <t>Total Expenses - Fixed &amp; Overhead</t>
  </si>
  <si>
    <t xml:space="preserve">Total Annualized Fixed Expenses </t>
  </si>
  <si>
    <t xml:space="preserve">Annual Tax Expenses </t>
  </si>
  <si>
    <t>Overhead and Other Fixed Expenses</t>
  </si>
  <si>
    <t>Total Overhead and Fixed Expenses</t>
  </si>
  <si>
    <t>Version: 2021-03-15</t>
  </si>
  <si>
    <t>Future/Salvage Value</t>
  </si>
  <si>
    <t>Current Value</t>
  </si>
  <si>
    <t>Elliott Dennis, PhD, Department of Agricultural Economics, University of Nebraska – Lincoln</t>
  </si>
  <si>
    <t>Randy Saner, Lincoln-Logan-McPherson County Extension, University of Nebraska-Lincoln</t>
  </si>
  <si>
    <t>Glennis McClure, Department of Agricultural Economics, University of Nebraska-Lincoln</t>
  </si>
  <si>
    <t>Daniel Gertner, Graduate Student, Department of Agricultural Economics, University of Nebraska – Lincoln</t>
  </si>
  <si>
    <r>
      <t xml:space="preserve">(4) Only input numbers and data into the </t>
    </r>
    <r>
      <rPr>
        <sz val="10"/>
        <rFont val="Calibri"/>
        <family val="2"/>
        <scheme val="minor"/>
      </rPr>
      <t>yellow</t>
    </r>
    <r>
      <rPr>
        <sz val="10"/>
        <color theme="1"/>
        <rFont val="Calibri"/>
        <family val="2"/>
        <scheme val="minor"/>
      </rPr>
      <t xml:space="preserve"> cells. Other numbers will automatically calculate and fill. </t>
    </r>
  </si>
  <si>
    <t>AUM*</t>
  </si>
  <si>
    <t>* AUM = Animal Unit Month - Amount of forage required by one animal unit for one month.</t>
  </si>
  <si>
    <t>The authors would like to thank the Nebraska Sheep and Goat Producers Association members for assistance in developing this budget information.</t>
  </si>
  <si>
    <t xml:space="preserve"> </t>
  </si>
  <si>
    <t>Version: 2021-04-01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</si>
</sst>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_([$$-409]* #,##0.00_);_([$$-409]* \(#,##0.00\);_([$$-409]* &quot;-&quot;??_);_(@_)"/>
    <numFmt numFmtId="168" formatCode="_(* #,##0.0_);_(* \(#,##0.0\);_(* &quot;-&quot;??_);_(@_)"/>
  </numFmts>
  <fonts count="51" x14ac:knownFonts="1">
    <font>
      <sz val="11"/>
      <color theme="1"/>
      <name val="Calibri"/>
      <family val="2"/>
      <scheme val="minor"/>
    </font>
    <font>
      <sz val="11"/>
      <color theme="1"/>
      <name val="Calibri"/>
      <family val="2"/>
      <scheme val="minor"/>
    </font>
    <font>
      <sz val="12"/>
      <color theme="1"/>
      <name val="Times New Roman"/>
      <family val="1"/>
    </font>
    <font>
      <b/>
      <sz val="12"/>
      <color theme="0"/>
      <name val="Times New Roman"/>
      <family val="1"/>
    </font>
    <font>
      <b/>
      <sz val="12"/>
      <color theme="1"/>
      <name val="Times New Roman"/>
      <family val="1"/>
    </font>
    <font>
      <sz val="12"/>
      <color rgb="FFFF0000"/>
      <name val="Times New Roman"/>
      <family val="1"/>
    </font>
    <font>
      <sz val="12"/>
      <name val="Times New Roman"/>
      <family val="1"/>
    </font>
    <font>
      <b/>
      <sz val="16"/>
      <color theme="0"/>
      <name val="Times New Roman"/>
      <family val="1"/>
    </font>
    <font>
      <sz val="12"/>
      <color theme="4"/>
      <name val="Times New Roman"/>
      <family val="1"/>
    </font>
    <font>
      <b/>
      <sz val="18"/>
      <color theme="1"/>
      <name val="Times New Roman"/>
      <family val="1"/>
    </font>
    <font>
      <b/>
      <sz val="18"/>
      <name val="Times New Roman"/>
      <family val="1"/>
    </font>
    <font>
      <sz val="11"/>
      <color theme="1"/>
      <name val="Times New Roman"/>
      <family val="1"/>
    </font>
    <font>
      <b/>
      <sz val="12"/>
      <name val="Times New Roman"/>
      <family val="1"/>
    </font>
    <font>
      <b/>
      <sz val="11"/>
      <color theme="1"/>
      <name val="Times New Roman"/>
      <family val="1"/>
    </font>
    <font>
      <sz val="12"/>
      <color rgb="FF000000"/>
      <name val="Times New Roman"/>
      <family val="1"/>
    </font>
    <font>
      <b/>
      <sz val="20"/>
      <color theme="1"/>
      <name val="Times New Roman"/>
      <family val="1"/>
    </font>
    <font>
      <sz val="10"/>
      <name val="Arial"/>
      <family val="2"/>
    </font>
    <font>
      <b/>
      <sz val="12"/>
      <color theme="0"/>
      <name val="Calibri"/>
      <family val="2"/>
      <scheme val="minor"/>
    </font>
    <font>
      <b/>
      <i/>
      <sz val="20"/>
      <color rgb="FFFDF2D9"/>
      <name val="Calibri"/>
      <family val="2"/>
      <scheme val="minor"/>
    </font>
    <font>
      <sz val="18"/>
      <color rgb="FFFDF2D9"/>
      <name val="Calibri"/>
      <family val="2"/>
      <scheme val="minor"/>
    </font>
    <font>
      <b/>
      <sz val="12"/>
      <color rgb="FFFDF2D9"/>
      <name val="Calibri"/>
      <family val="2"/>
      <scheme val="minor"/>
    </font>
    <font>
      <b/>
      <i/>
      <sz val="13"/>
      <color rgb="FFFDF2D9"/>
      <name val="Calibri"/>
      <family val="2"/>
      <scheme val="minor"/>
    </font>
    <font>
      <i/>
      <sz val="13"/>
      <color rgb="FFFDF2D9"/>
      <name val="Calibri"/>
      <family val="2"/>
      <scheme val="minor"/>
    </font>
    <font>
      <sz val="13"/>
      <color rgb="FFFDF2D9"/>
      <name val="Calibri"/>
      <family val="2"/>
      <scheme val="minor"/>
    </font>
    <font>
      <sz val="12"/>
      <color theme="1"/>
      <name val="Calibri"/>
      <family val="2"/>
      <scheme val="minor"/>
    </font>
    <font>
      <sz val="12"/>
      <color rgb="FFFDF2D9"/>
      <name val="Calibri"/>
      <family val="2"/>
      <scheme val="minor"/>
    </font>
    <font>
      <b/>
      <i/>
      <sz val="12"/>
      <color rgb="FFFDF2D9"/>
      <name val="Calibri"/>
      <family val="2"/>
      <scheme val="minor"/>
    </font>
    <font>
      <b/>
      <sz val="12"/>
      <name val="Calibri"/>
      <family val="2"/>
      <scheme val="minor"/>
    </font>
    <font>
      <b/>
      <u/>
      <sz val="12"/>
      <name val="Calibri"/>
      <family val="2"/>
      <scheme val="minor"/>
    </font>
    <font>
      <sz val="12"/>
      <name val="Calibri"/>
      <family val="2"/>
      <scheme val="minor"/>
    </font>
    <font>
      <b/>
      <sz val="14"/>
      <color theme="1"/>
      <name val="Times New Roman"/>
      <family val="1"/>
    </font>
    <font>
      <sz val="10"/>
      <color theme="1"/>
      <name val="Times New Roman"/>
      <family val="1"/>
    </font>
    <font>
      <u/>
      <sz val="11"/>
      <color theme="10"/>
      <name val="Calibri"/>
      <family val="2"/>
      <scheme val="minor"/>
    </font>
    <font>
      <u/>
      <sz val="12"/>
      <color theme="10"/>
      <name val="Calibri"/>
      <family val="2"/>
      <scheme val="minor"/>
    </font>
    <font>
      <u/>
      <sz val="10"/>
      <color indexed="12"/>
      <name val="Arial"/>
      <family val="2"/>
    </font>
    <font>
      <u/>
      <sz val="12"/>
      <color indexed="12"/>
      <name val="Calibri"/>
      <family val="2"/>
      <scheme val="minor"/>
    </font>
    <font>
      <i/>
      <sz val="11"/>
      <color theme="1"/>
      <name val="Calibri"/>
      <family val="2"/>
      <scheme val="minor"/>
    </font>
    <font>
      <i/>
      <sz val="12"/>
      <color theme="1"/>
      <name val="Times New Roman"/>
      <family val="1"/>
    </font>
    <font>
      <b/>
      <i/>
      <sz val="18"/>
      <color theme="1"/>
      <name val="Times New Roman"/>
      <family val="1"/>
    </font>
    <font>
      <b/>
      <i/>
      <sz val="16"/>
      <color theme="0"/>
      <name val="Times New Roman"/>
      <family val="1"/>
    </font>
    <font>
      <sz val="16"/>
      <color theme="0"/>
      <name val="Times New Roman"/>
      <family val="1"/>
    </font>
    <font>
      <i/>
      <sz val="12"/>
      <name val="Times New Roman"/>
      <family val="1"/>
    </font>
    <font>
      <b/>
      <sz val="18"/>
      <color theme="0"/>
      <name val="Times New Roman"/>
      <family val="1"/>
    </font>
    <font>
      <sz val="9"/>
      <color indexed="81"/>
      <name val="Tahoma"/>
      <family val="2"/>
    </font>
    <font>
      <b/>
      <sz val="9"/>
      <color indexed="81"/>
      <name val="Tahoma"/>
      <family val="2"/>
    </font>
    <font>
      <sz val="12"/>
      <color rgb="FF000000"/>
      <name val="Calibri"/>
      <family val="2"/>
      <scheme val="minor"/>
    </font>
    <font>
      <sz val="10"/>
      <color theme="1"/>
      <name val="Calibri"/>
      <family val="2"/>
      <scheme val="minor"/>
    </font>
    <font>
      <sz val="10"/>
      <name val="Calibri"/>
      <family val="2"/>
      <scheme val="minor"/>
    </font>
    <font>
      <b/>
      <sz val="14"/>
      <name val="Calibri"/>
      <family val="2"/>
      <scheme val="minor"/>
    </font>
    <font>
      <u/>
      <sz val="11"/>
      <color theme="1"/>
      <name val="Calibri"/>
      <family val="2"/>
      <scheme val="minor"/>
    </font>
    <font>
      <sz val="8"/>
      <name val="Calibri"/>
      <family val="2"/>
      <scheme val="minor"/>
    </font>
  </fonts>
  <fills count="13">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FFCCCC"/>
        <bgColor indexed="64"/>
      </patternFill>
    </fill>
    <fill>
      <patternFill patternType="solid">
        <fgColor theme="2" tint="-0.249977111117893"/>
        <bgColor indexed="64"/>
      </patternFill>
    </fill>
    <fill>
      <patternFill patternType="solid">
        <fgColor rgb="FFE41C38"/>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249977111117893"/>
        <bgColor indexed="64"/>
      </patternFill>
    </fill>
  </fills>
  <borders count="44">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double">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theme="2"/>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6" fillId="0" borderId="0"/>
    <xf numFmtId="0" fontId="32" fillId="0" borderId="0" applyNumberFormat="0" applyFill="0" applyBorder="0" applyAlignment="0" applyProtection="0"/>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cellStyleXfs>
  <cellXfs count="299">
    <xf numFmtId="0" fontId="0" fillId="0" borderId="0" xfId="0"/>
    <xf numFmtId="0" fontId="2" fillId="0" borderId="0" xfId="0" applyFont="1"/>
    <xf numFmtId="0" fontId="2" fillId="0" borderId="0" xfId="0" applyFont="1" applyAlignment="1">
      <alignment horizontal="right"/>
    </xf>
    <xf numFmtId="0" fontId="2" fillId="0" borderId="0" xfId="0" applyFont="1" applyBorder="1"/>
    <xf numFmtId="0" fontId="2" fillId="0" borderId="0" xfId="0" applyFont="1" applyAlignment="1">
      <alignment horizontal="left"/>
    </xf>
    <xf numFmtId="0" fontId="2" fillId="4" borderId="0" xfId="0" applyFont="1" applyFill="1" applyBorder="1"/>
    <xf numFmtId="0" fontId="2" fillId="4" borderId="1" xfId="0" applyFont="1" applyFill="1" applyBorder="1"/>
    <xf numFmtId="0" fontId="2" fillId="0" borderId="0" xfId="0" applyFont="1" applyAlignment="1">
      <alignment horizontal="center"/>
    </xf>
    <xf numFmtId="0" fontId="2" fillId="0" borderId="0" xfId="0" applyFont="1" applyBorder="1" applyAlignment="1">
      <alignment horizontal="right"/>
    </xf>
    <xf numFmtId="0" fontId="4" fillId="4" borderId="4" xfId="0" applyFont="1" applyFill="1" applyBorder="1"/>
    <xf numFmtId="0" fontId="2" fillId="4" borderId="5" xfId="0" applyFont="1" applyFill="1" applyBorder="1"/>
    <xf numFmtId="0" fontId="2" fillId="4" borderId="8" xfId="0" applyFont="1" applyFill="1" applyBorder="1"/>
    <xf numFmtId="0" fontId="2" fillId="4" borderId="9" xfId="0" applyFont="1" applyFill="1" applyBorder="1"/>
    <xf numFmtId="0" fontId="4" fillId="4" borderId="10" xfId="0" applyFont="1" applyFill="1" applyBorder="1"/>
    <xf numFmtId="0" fontId="2" fillId="4" borderId="10" xfId="0" applyFont="1" applyFill="1" applyBorder="1" applyAlignment="1">
      <alignment horizontal="right"/>
    </xf>
    <xf numFmtId="0" fontId="2" fillId="4" borderId="10" xfId="0" applyFont="1" applyFill="1" applyBorder="1"/>
    <xf numFmtId="0" fontId="4" fillId="4" borderId="10" xfId="0" applyFont="1" applyFill="1" applyBorder="1" applyAlignment="1">
      <alignment horizontal="left"/>
    </xf>
    <xf numFmtId="0" fontId="2" fillId="4" borderId="11" xfId="0" applyFont="1" applyFill="1" applyBorder="1" applyAlignment="1">
      <alignment horizontal="right"/>
    </xf>
    <xf numFmtId="0" fontId="2" fillId="4" borderId="6" xfId="0" applyFont="1" applyFill="1" applyBorder="1" applyAlignment="1">
      <alignment horizontal="right"/>
    </xf>
    <xf numFmtId="0" fontId="4" fillId="4" borderId="4" xfId="0" applyFont="1" applyFill="1" applyBorder="1" applyAlignment="1">
      <alignment horizontal="left"/>
    </xf>
    <xf numFmtId="0" fontId="4" fillId="4" borderId="3" xfId="0" applyFont="1" applyFill="1" applyBorder="1"/>
    <xf numFmtId="0" fontId="2" fillId="4" borderId="4" xfId="0" applyFont="1" applyFill="1" applyBorder="1"/>
    <xf numFmtId="44" fontId="2" fillId="4" borderId="8" xfId="2" applyFont="1" applyFill="1" applyBorder="1"/>
    <xf numFmtId="0" fontId="5" fillId="4" borderId="0" xfId="0" applyFont="1" applyFill="1" applyBorder="1"/>
    <xf numFmtId="44" fontId="2" fillId="4" borderId="13" xfId="2" applyFont="1" applyFill="1" applyBorder="1"/>
    <xf numFmtId="0" fontId="4" fillId="4" borderId="0" xfId="0" applyFont="1" applyFill="1" applyBorder="1"/>
    <xf numFmtId="44" fontId="2" fillId="4" borderId="9" xfId="2" applyFont="1" applyFill="1" applyBorder="1"/>
    <xf numFmtId="0" fontId="5" fillId="4" borderId="1" xfId="0" applyFont="1" applyFill="1" applyBorder="1"/>
    <xf numFmtId="0" fontId="6" fillId="4" borderId="0" xfId="0" applyFont="1" applyFill="1" applyBorder="1"/>
    <xf numFmtId="44" fontId="6" fillId="4" borderId="13" xfId="2" applyFont="1" applyFill="1" applyBorder="1"/>
    <xf numFmtId="44" fontId="2" fillId="4" borderId="0" xfId="0" applyNumberFormat="1" applyFont="1" applyFill="1" applyBorder="1"/>
    <xf numFmtId="44" fontId="6" fillId="4" borderId="0" xfId="0" applyNumberFormat="1" applyFont="1" applyFill="1" applyBorder="1"/>
    <xf numFmtId="0" fontId="2" fillId="4" borderId="11" xfId="0" applyFont="1" applyFill="1" applyBorder="1"/>
    <xf numFmtId="0" fontId="3" fillId="2" borderId="4" xfId="0" applyFont="1" applyFill="1" applyBorder="1"/>
    <xf numFmtId="0" fontId="2" fillId="3" borderId="8" xfId="0" applyFont="1" applyFill="1" applyBorder="1"/>
    <xf numFmtId="0" fontId="3" fillId="2" borderId="0" xfId="0" applyFont="1" applyFill="1" applyBorder="1"/>
    <xf numFmtId="0" fontId="2" fillId="4" borderId="11" xfId="0" applyFont="1" applyFill="1" applyBorder="1" applyAlignment="1">
      <alignment horizontal="left"/>
    </xf>
    <xf numFmtId="44" fontId="5" fillId="4" borderId="0" xfId="0" applyNumberFormat="1" applyFont="1" applyFill="1" applyBorder="1"/>
    <xf numFmtId="0" fontId="4" fillId="4" borderId="11" xfId="0" applyFont="1" applyFill="1" applyBorder="1"/>
    <xf numFmtId="44" fontId="2" fillId="4" borderId="0" xfId="2" applyFont="1" applyFill="1" applyBorder="1" applyAlignment="1">
      <alignment horizontal="right"/>
    </xf>
    <xf numFmtId="44" fontId="2" fillId="4" borderId="13" xfId="0" applyNumberFormat="1" applyFont="1" applyFill="1" applyBorder="1"/>
    <xf numFmtId="0" fontId="4" fillId="4" borderId="0" xfId="0" applyFont="1" applyFill="1" applyBorder="1" applyAlignment="1">
      <alignment horizontal="center"/>
    </xf>
    <xf numFmtId="0" fontId="4" fillId="4" borderId="4" xfId="0" applyFont="1" applyFill="1" applyBorder="1" applyAlignment="1">
      <alignment horizontal="center"/>
    </xf>
    <xf numFmtId="0" fontId="4" fillId="4" borderId="5" xfId="0" applyFont="1" applyFill="1" applyBorder="1" applyAlignment="1">
      <alignment horizontal="center"/>
    </xf>
    <xf numFmtId="0" fontId="7" fillId="2" borderId="3" xfId="0" applyFont="1" applyFill="1" applyBorder="1"/>
    <xf numFmtId="0" fontId="7" fillId="2" borderId="10" xfId="0" applyFont="1" applyFill="1" applyBorder="1"/>
    <xf numFmtId="0" fontId="5" fillId="0" borderId="0" xfId="0" applyFont="1" applyBorder="1" applyAlignment="1">
      <alignment horizontal="right"/>
    </xf>
    <xf numFmtId="0" fontId="5" fillId="0" borderId="0" xfId="0" applyFont="1"/>
    <xf numFmtId="9" fontId="5" fillId="0" borderId="0" xfId="3" applyFont="1" applyBorder="1" applyAlignment="1">
      <alignment horizontal="right"/>
    </xf>
    <xf numFmtId="44" fontId="2" fillId="4" borderId="14" xfId="2" applyFont="1" applyFill="1" applyBorder="1"/>
    <xf numFmtId="0" fontId="2" fillId="4" borderId="14" xfId="0" applyFont="1" applyFill="1" applyBorder="1"/>
    <xf numFmtId="0" fontId="4" fillId="4" borderId="4" xfId="0" applyFont="1" applyFill="1" applyBorder="1" applyAlignment="1">
      <alignment horizontal="center" vertical="justify"/>
    </xf>
    <xf numFmtId="44" fontId="2" fillId="4" borderId="16" xfId="2" applyFont="1" applyFill="1" applyBorder="1"/>
    <xf numFmtId="0" fontId="10" fillId="3" borderId="19" xfId="0" applyFont="1" applyFill="1" applyBorder="1"/>
    <xf numFmtId="0" fontId="10" fillId="3" borderId="20" xfId="0" applyFont="1" applyFill="1" applyBorder="1"/>
    <xf numFmtId="0" fontId="9" fillId="6" borderId="17" xfId="0" applyFont="1" applyFill="1" applyBorder="1"/>
    <xf numFmtId="0" fontId="9" fillId="6" borderId="17" xfId="0" applyFont="1" applyFill="1" applyBorder="1" applyAlignment="1">
      <alignment horizontal="center" vertical="center"/>
    </xf>
    <xf numFmtId="0" fontId="2" fillId="4" borderId="10" xfId="0" applyFont="1" applyFill="1" applyBorder="1" applyAlignment="1">
      <alignment horizontal="left"/>
    </xf>
    <xf numFmtId="0" fontId="2" fillId="7" borderId="8" xfId="0" applyFont="1" applyFill="1" applyBorder="1"/>
    <xf numFmtId="44" fontId="2" fillId="7" borderId="13" xfId="0" applyNumberFormat="1" applyFont="1" applyFill="1" applyBorder="1"/>
    <xf numFmtId="44" fontId="4" fillId="7" borderId="12" xfId="0" applyNumberFormat="1" applyFont="1" applyFill="1" applyBorder="1"/>
    <xf numFmtId="44" fontId="2" fillId="7" borderId="8" xfId="0" applyNumberFormat="1" applyFont="1" applyFill="1" applyBorder="1"/>
    <xf numFmtId="0" fontId="0" fillId="7" borderId="26" xfId="0" applyFill="1" applyBorder="1"/>
    <xf numFmtId="0" fontId="9" fillId="7" borderId="19" xfId="0" applyFont="1" applyFill="1" applyBorder="1"/>
    <xf numFmtId="0" fontId="4" fillId="7" borderId="20" xfId="0" applyFont="1" applyFill="1" applyBorder="1"/>
    <xf numFmtId="44" fontId="9" fillId="7" borderId="15" xfId="0" applyNumberFormat="1" applyFont="1" applyFill="1" applyBorder="1"/>
    <xf numFmtId="0" fontId="9" fillId="7" borderId="20" xfId="0" applyFont="1" applyFill="1" applyBorder="1"/>
    <xf numFmtId="44" fontId="2" fillId="4" borderId="11" xfId="2" applyFont="1" applyFill="1" applyBorder="1" applyAlignment="1">
      <alignment horizontal="right"/>
    </xf>
    <xf numFmtId="0" fontId="2" fillId="4" borderId="1" xfId="0" applyFont="1" applyFill="1" applyBorder="1" applyAlignment="1">
      <alignment horizontal="right"/>
    </xf>
    <xf numFmtId="44" fontId="10" fillId="3" borderId="15" xfId="2" applyFont="1" applyFill="1" applyBorder="1"/>
    <xf numFmtId="44" fontId="2" fillId="7" borderId="13" xfId="2" applyFont="1" applyFill="1" applyBorder="1"/>
    <xf numFmtId="0" fontId="2" fillId="7" borderId="5" xfId="0" applyFont="1" applyFill="1" applyBorder="1"/>
    <xf numFmtId="44" fontId="2" fillId="4" borderId="16" xfId="0" applyNumberFormat="1" applyFont="1" applyFill="1" applyBorder="1"/>
    <xf numFmtId="44" fontId="6" fillId="4" borderId="13" xfId="0" applyNumberFormat="1" applyFont="1" applyFill="1" applyBorder="1"/>
    <xf numFmtId="2" fontId="11" fillId="4" borderId="0" xfId="0" applyNumberFormat="1" applyFont="1" applyFill="1" applyBorder="1"/>
    <xf numFmtId="0" fontId="11" fillId="0" borderId="0" xfId="0" applyFont="1"/>
    <xf numFmtId="165" fontId="2" fillId="4" borderId="0" xfId="2" applyNumberFormat="1" applyFont="1" applyFill="1" applyBorder="1"/>
    <xf numFmtId="44" fontId="2" fillId="4" borderId="29" xfId="2" applyFont="1" applyFill="1" applyBorder="1"/>
    <xf numFmtId="44" fontId="2" fillId="4" borderId="12" xfId="2" applyFont="1" applyFill="1" applyBorder="1"/>
    <xf numFmtId="44" fontId="4" fillId="4" borderId="12" xfId="2" applyFont="1" applyFill="1" applyBorder="1"/>
    <xf numFmtId="0" fontId="4" fillId="0" borderId="0" xfId="0" applyFont="1" applyFill="1"/>
    <xf numFmtId="0" fontId="2" fillId="0" borderId="0" xfId="0" applyFont="1" applyFill="1"/>
    <xf numFmtId="44" fontId="5" fillId="4" borderId="8" xfId="2" applyFont="1" applyFill="1" applyBorder="1"/>
    <xf numFmtId="165" fontId="2" fillId="4" borderId="28" xfId="2" applyNumberFormat="1" applyFont="1" applyFill="1" applyBorder="1"/>
    <xf numFmtId="0" fontId="12" fillId="4" borderId="10" xfId="0" applyFont="1" applyFill="1" applyBorder="1" applyAlignment="1">
      <alignment horizontal="left"/>
    </xf>
    <xf numFmtId="44" fontId="6" fillId="4" borderId="16" xfId="2" applyFont="1" applyFill="1" applyBorder="1"/>
    <xf numFmtId="44" fontId="6" fillId="4" borderId="8" xfId="2" applyFont="1" applyFill="1" applyBorder="1"/>
    <xf numFmtId="44" fontId="2" fillId="4" borderId="8" xfId="0" applyNumberFormat="1" applyFont="1" applyFill="1" applyBorder="1"/>
    <xf numFmtId="44" fontId="6" fillId="4" borderId="8" xfId="0" applyNumberFormat="1" applyFont="1" applyFill="1" applyBorder="1"/>
    <xf numFmtId="44" fontId="12" fillId="4" borderId="12" xfId="2" applyFont="1" applyFill="1" applyBorder="1"/>
    <xf numFmtId="44" fontId="12" fillId="4" borderId="12" xfId="0" applyNumberFormat="1" applyFont="1" applyFill="1" applyBorder="1"/>
    <xf numFmtId="44" fontId="2" fillId="4" borderId="0" xfId="2" applyFont="1" applyFill="1" applyBorder="1"/>
    <xf numFmtId="0" fontId="2" fillId="3" borderId="31" xfId="0" applyFont="1" applyFill="1" applyBorder="1"/>
    <xf numFmtId="0" fontId="2" fillId="7" borderId="31" xfId="0" applyFont="1" applyFill="1" applyBorder="1"/>
    <xf numFmtId="44" fontId="2" fillId="7" borderId="31" xfId="0" applyNumberFormat="1" applyFont="1" applyFill="1" applyBorder="1"/>
    <xf numFmtId="0" fontId="2" fillId="4" borderId="32" xfId="0" applyFont="1" applyFill="1" applyBorder="1"/>
    <xf numFmtId="0" fontId="2" fillId="0" borderId="0" xfId="0" applyFont="1" applyFill="1" applyBorder="1" applyAlignment="1">
      <alignment horizontal="right"/>
    </xf>
    <xf numFmtId="0" fontId="2" fillId="0" borderId="0" xfId="0" applyFont="1" applyFill="1" applyBorder="1"/>
    <xf numFmtId="44" fontId="2" fillId="3" borderId="13" xfId="0" applyNumberFormat="1" applyFont="1" applyFill="1" applyBorder="1"/>
    <xf numFmtId="44" fontId="2" fillId="3" borderId="9" xfId="0" applyNumberFormat="1" applyFont="1" applyFill="1" applyBorder="1"/>
    <xf numFmtId="44" fontId="4" fillId="3" borderId="12" xfId="0" applyNumberFormat="1" applyFont="1" applyFill="1" applyBorder="1"/>
    <xf numFmtId="0" fontId="13" fillId="4" borderId="10" xfId="0" applyFont="1" applyFill="1" applyBorder="1" applyAlignment="1">
      <alignment horizontal="left"/>
    </xf>
    <xf numFmtId="0" fontId="14" fillId="0" borderId="0" xfId="0" applyFont="1" applyAlignment="1">
      <alignment horizontal="left" vertical="center" indent="1"/>
    </xf>
    <xf numFmtId="0" fontId="15" fillId="6" borderId="17" xfId="0" applyFont="1" applyFill="1" applyBorder="1"/>
    <xf numFmtId="0" fontId="9" fillId="3" borderId="19" xfId="0" applyFont="1" applyFill="1" applyBorder="1"/>
    <xf numFmtId="0" fontId="2" fillId="3" borderId="20" xfId="0" applyFont="1" applyFill="1" applyBorder="1"/>
    <xf numFmtId="0" fontId="2" fillId="4" borderId="26" xfId="0" applyFont="1" applyFill="1" applyBorder="1"/>
    <xf numFmtId="44" fontId="2" fillId="3" borderId="15" xfId="2" applyFont="1" applyFill="1" applyBorder="1"/>
    <xf numFmtId="0" fontId="2" fillId="7" borderId="20" xfId="0" applyFont="1" applyFill="1" applyBorder="1"/>
    <xf numFmtId="0" fontId="2" fillId="4" borderId="0" xfId="0" applyFont="1" applyFill="1" applyBorder="1" applyAlignment="1">
      <alignment horizontal="left"/>
    </xf>
    <xf numFmtId="0" fontId="6" fillId="4" borderId="10" xfId="0" applyFont="1" applyFill="1" applyBorder="1" applyAlignment="1">
      <alignment horizontal="right"/>
    </xf>
    <xf numFmtId="0" fontId="11" fillId="4" borderId="10" xfId="0" applyFont="1" applyFill="1" applyBorder="1" applyAlignment="1">
      <alignment horizontal="left"/>
    </xf>
    <xf numFmtId="9" fontId="5" fillId="0" borderId="0" xfId="3" applyFont="1" applyBorder="1" applyAlignment="1">
      <alignment horizontal="left"/>
    </xf>
    <xf numFmtId="0" fontId="2" fillId="4" borderId="28" xfId="0" applyFont="1" applyFill="1" applyBorder="1"/>
    <xf numFmtId="1" fontId="2" fillId="4" borderId="0" xfId="0" applyNumberFormat="1" applyFont="1" applyFill="1" applyBorder="1"/>
    <xf numFmtId="44" fontId="2" fillId="4" borderId="33" xfId="2" applyFont="1" applyFill="1" applyBorder="1" applyAlignment="1">
      <alignment horizontal="right"/>
    </xf>
    <xf numFmtId="0" fontId="17" fillId="9" borderId="3" xfId="4" applyFont="1" applyFill="1" applyBorder="1"/>
    <xf numFmtId="0" fontId="17" fillId="9" borderId="4" xfId="4" applyFont="1" applyFill="1" applyBorder="1"/>
    <xf numFmtId="0" fontId="17" fillId="9" borderId="5" xfId="4" applyFont="1" applyFill="1" applyBorder="1"/>
    <xf numFmtId="0" fontId="18" fillId="9" borderId="10" xfId="4" applyFont="1" applyFill="1" applyBorder="1"/>
    <xf numFmtId="0" fontId="19" fillId="9" borderId="0" xfId="4" applyFont="1" applyFill="1"/>
    <xf numFmtId="0" fontId="20" fillId="9" borderId="0" xfId="4" applyFont="1" applyFill="1"/>
    <xf numFmtId="0" fontId="20" fillId="9" borderId="8" xfId="4" applyFont="1" applyFill="1" applyBorder="1"/>
    <xf numFmtId="0" fontId="20" fillId="9" borderId="10" xfId="4" applyFont="1" applyFill="1" applyBorder="1"/>
    <xf numFmtId="0" fontId="21" fillId="9" borderId="0" xfId="4" applyFont="1" applyFill="1" applyAlignment="1">
      <alignment horizontal="left"/>
    </xf>
    <xf numFmtId="0" fontId="22" fillId="9" borderId="0" xfId="4" applyFont="1" applyFill="1" applyAlignment="1">
      <alignment horizontal="left"/>
    </xf>
    <xf numFmtId="0" fontId="23" fillId="9" borderId="0" xfId="4" applyFont="1" applyFill="1"/>
    <xf numFmtId="0" fontId="24" fillId="0" borderId="0" xfId="0" applyFont="1"/>
    <xf numFmtId="0" fontId="20" fillId="9" borderId="10" xfId="4" applyFont="1" applyFill="1" applyBorder="1" applyAlignment="1">
      <alignment horizontal="center"/>
    </xf>
    <xf numFmtId="0" fontId="25" fillId="9" borderId="0" xfId="4" applyFont="1" applyFill="1" applyAlignment="1">
      <alignment wrapText="1"/>
    </xf>
    <xf numFmtId="0" fontId="20" fillId="9" borderId="11" xfId="4" applyFont="1" applyFill="1" applyBorder="1"/>
    <xf numFmtId="0" fontId="20" fillId="9" borderId="1" xfId="4" applyFont="1" applyFill="1" applyBorder="1"/>
    <xf numFmtId="0" fontId="26" fillId="9" borderId="9" xfId="4" applyFont="1" applyFill="1" applyBorder="1" applyAlignment="1">
      <alignment horizontal="right"/>
    </xf>
    <xf numFmtId="0" fontId="27" fillId="0" borderId="0" xfId="4" applyFont="1"/>
    <xf numFmtId="0" fontId="28" fillId="0" borderId="0" xfId="4" applyFont="1"/>
    <xf numFmtId="0" fontId="29" fillId="0" borderId="0" xfId="4" applyFont="1"/>
    <xf numFmtId="0" fontId="29" fillId="0" borderId="0" xfId="4" applyFont="1" applyAlignment="1">
      <alignment horizontal="left" vertical="top" wrapText="1"/>
    </xf>
    <xf numFmtId="0" fontId="29" fillId="0" borderId="0" xfId="4" applyFont="1" applyAlignment="1">
      <alignment wrapText="1"/>
    </xf>
    <xf numFmtId="0" fontId="27" fillId="0" borderId="0" xfId="4" applyFont="1" applyAlignment="1">
      <alignment vertical="center" wrapText="1"/>
    </xf>
    <xf numFmtId="0" fontId="29" fillId="0" borderId="0" xfId="4" applyFont="1" applyAlignment="1">
      <alignment horizontal="center"/>
    </xf>
    <xf numFmtId="0" fontId="29" fillId="0" borderId="0" xfId="7" applyFont="1" applyFill="1" applyAlignment="1" applyProtection="1"/>
    <xf numFmtId="0" fontId="4" fillId="4" borderId="10" xfId="0" applyFont="1" applyFill="1" applyBorder="1" applyAlignment="1">
      <alignment horizontal="left"/>
    </xf>
    <xf numFmtId="44" fontId="2" fillId="7" borderId="8" xfId="2" applyFont="1" applyFill="1" applyBorder="1"/>
    <xf numFmtId="0" fontId="4" fillId="10" borderId="10" xfId="0" applyFont="1" applyFill="1" applyBorder="1"/>
    <xf numFmtId="0" fontId="2" fillId="10" borderId="0" xfId="0" applyFont="1" applyFill="1" applyBorder="1"/>
    <xf numFmtId="0" fontId="2" fillId="10" borderId="10" xfId="0" applyFont="1" applyFill="1" applyBorder="1"/>
    <xf numFmtId="0" fontId="4" fillId="10" borderId="10" xfId="0" applyFont="1" applyFill="1" applyBorder="1" applyAlignment="1">
      <alignment horizontal="left"/>
    </xf>
    <xf numFmtId="44" fontId="2" fillId="7" borderId="34" xfId="2" applyFont="1" applyFill="1" applyBorder="1"/>
    <xf numFmtId="167" fontId="2" fillId="3" borderId="13" xfId="0" applyNumberFormat="1" applyFont="1" applyFill="1" applyBorder="1"/>
    <xf numFmtId="167" fontId="2" fillId="3" borderId="9" xfId="0" applyNumberFormat="1" applyFont="1" applyFill="1" applyBorder="1"/>
    <xf numFmtId="167" fontId="4" fillId="3" borderId="12" xfId="0" applyNumberFormat="1" applyFont="1" applyFill="1" applyBorder="1"/>
    <xf numFmtId="44" fontId="4" fillId="7" borderId="12" xfId="2" applyFont="1" applyFill="1" applyBorder="1"/>
    <xf numFmtId="44" fontId="4" fillId="7" borderId="15" xfId="2" applyFont="1" applyFill="1" applyBorder="1"/>
    <xf numFmtId="44" fontId="4" fillId="3" borderId="35" xfId="0" applyNumberFormat="1" applyFont="1" applyFill="1" applyBorder="1"/>
    <xf numFmtId="44" fontId="4" fillId="3" borderId="36" xfId="0" applyNumberFormat="1" applyFont="1" applyFill="1" applyBorder="1"/>
    <xf numFmtId="44" fontId="2" fillId="7" borderId="9" xfId="2" applyFont="1" applyFill="1" applyBorder="1"/>
    <xf numFmtId="0" fontId="30" fillId="4" borderId="37" xfId="0" applyFont="1" applyFill="1" applyBorder="1" applyAlignment="1">
      <alignment horizontal="left"/>
    </xf>
    <xf numFmtId="0" fontId="2" fillId="4" borderId="38" xfId="0" applyFont="1" applyFill="1" applyBorder="1"/>
    <xf numFmtId="0" fontId="2" fillId="4" borderId="39" xfId="0" applyFont="1" applyFill="1" applyBorder="1"/>
    <xf numFmtId="0" fontId="2" fillId="4" borderId="33" xfId="0" applyFont="1" applyFill="1" applyBorder="1"/>
    <xf numFmtId="0" fontId="6" fillId="4" borderId="0" xfId="0" applyFont="1" applyFill="1" applyBorder="1" applyAlignment="1">
      <alignment horizontal="right"/>
    </xf>
    <xf numFmtId="0" fontId="36" fillId="0" borderId="0" xfId="0" applyFont="1"/>
    <xf numFmtId="0" fontId="6" fillId="4" borderId="3" xfId="0" applyFont="1" applyFill="1" applyBorder="1"/>
    <xf numFmtId="0" fontId="10" fillId="6" borderId="17" xfId="0" applyFont="1" applyFill="1" applyBorder="1"/>
    <xf numFmtId="0" fontId="4" fillId="4" borderId="10" xfId="0" applyFont="1" applyFill="1" applyBorder="1" applyAlignment="1">
      <alignment horizontal="left"/>
    </xf>
    <xf numFmtId="0" fontId="6" fillId="4" borderId="33" xfId="0" applyFont="1" applyFill="1" applyBorder="1"/>
    <xf numFmtId="0" fontId="6" fillId="4" borderId="40" xfId="0" applyFont="1" applyFill="1" applyBorder="1"/>
    <xf numFmtId="44" fontId="6" fillId="4" borderId="33" xfId="0" applyNumberFormat="1" applyFont="1" applyFill="1" applyBorder="1"/>
    <xf numFmtId="2" fontId="2" fillId="4" borderId="40" xfId="0" applyNumberFormat="1" applyFont="1" applyFill="1" applyBorder="1"/>
    <xf numFmtId="44" fontId="2" fillId="4" borderId="10" xfId="2" applyFont="1" applyFill="1" applyBorder="1" applyAlignment="1">
      <alignment horizontal="right"/>
    </xf>
    <xf numFmtId="0" fontId="8" fillId="4" borderId="0" xfId="0" applyFont="1" applyFill="1" applyBorder="1"/>
    <xf numFmtId="0" fontId="4" fillId="4" borderId="10" xfId="0" applyFont="1" applyFill="1" applyBorder="1" applyAlignment="1">
      <alignment horizontal="left"/>
    </xf>
    <xf numFmtId="0" fontId="7" fillId="2" borderId="4" xfId="0" applyFont="1" applyFill="1" applyBorder="1" applyAlignment="1">
      <alignment horizontal="center"/>
    </xf>
    <xf numFmtId="0" fontId="7" fillId="2" borderId="5" xfId="0" applyFont="1" applyFill="1" applyBorder="1" applyAlignment="1">
      <alignment horizontal="center"/>
    </xf>
    <xf numFmtId="0" fontId="2" fillId="4" borderId="10" xfId="0" applyFont="1" applyFill="1" applyBorder="1" applyAlignment="1">
      <alignment horizontal="center"/>
    </xf>
    <xf numFmtId="0" fontId="2" fillId="4" borderId="0" xfId="0" applyFont="1" applyFill="1" applyBorder="1" applyAlignment="1">
      <alignment horizontal="center"/>
    </xf>
    <xf numFmtId="0" fontId="2" fillId="4" borderId="8" xfId="0" applyFont="1" applyFill="1" applyBorder="1" applyAlignment="1">
      <alignment horizontal="center"/>
    </xf>
    <xf numFmtId="0" fontId="4" fillId="4" borderId="10" xfId="0" applyFont="1" applyFill="1" applyBorder="1" applyAlignment="1"/>
    <xf numFmtId="0" fontId="4" fillId="4" borderId="0" xfId="0" applyFont="1" applyFill="1" applyBorder="1" applyAlignment="1"/>
    <xf numFmtId="0" fontId="4" fillId="4" borderId="8" xfId="0" applyFont="1" applyFill="1" applyBorder="1" applyAlignment="1"/>
    <xf numFmtId="0" fontId="4" fillId="11" borderId="0" xfId="0" applyFont="1" applyFill="1" applyBorder="1" applyAlignment="1"/>
    <xf numFmtId="44" fontId="2" fillId="4" borderId="40" xfId="0" applyNumberFormat="1" applyFont="1" applyFill="1" applyBorder="1" applyAlignment="1"/>
    <xf numFmtId="44" fontId="2" fillId="4" borderId="33" xfId="0" applyNumberFormat="1" applyFont="1" applyFill="1" applyBorder="1" applyAlignment="1"/>
    <xf numFmtId="44" fontId="2" fillId="4" borderId="28" xfId="0" applyNumberFormat="1" applyFont="1" applyFill="1" applyBorder="1"/>
    <xf numFmtId="1" fontId="6" fillId="4" borderId="0" xfId="0" applyNumberFormat="1" applyFont="1" applyFill="1" applyBorder="1" applyAlignment="1">
      <alignment horizontal="right"/>
    </xf>
    <xf numFmtId="9" fontId="2" fillId="4" borderId="0" xfId="0" applyNumberFormat="1" applyFont="1" applyFill="1" applyBorder="1"/>
    <xf numFmtId="0" fontId="2" fillId="4" borderId="29" xfId="0" applyFont="1" applyFill="1" applyBorder="1"/>
    <xf numFmtId="0" fontId="38" fillId="6" borderId="19" xfId="0" applyFont="1" applyFill="1" applyBorder="1"/>
    <xf numFmtId="0" fontId="37" fillId="6" borderId="20" xfId="0" applyFont="1" applyFill="1" applyBorder="1"/>
    <xf numFmtId="165" fontId="38" fillId="6" borderId="15" xfId="0" applyNumberFormat="1" applyFont="1" applyFill="1" applyBorder="1"/>
    <xf numFmtId="44" fontId="38" fillId="6" borderId="15" xfId="0" applyNumberFormat="1" applyFont="1" applyFill="1" applyBorder="1"/>
    <xf numFmtId="44" fontId="4" fillId="3" borderId="9" xfId="0" applyNumberFormat="1" applyFont="1" applyFill="1" applyBorder="1"/>
    <xf numFmtId="44" fontId="4" fillId="3" borderId="32" xfId="0" applyNumberFormat="1" applyFont="1" applyFill="1" applyBorder="1"/>
    <xf numFmtId="0" fontId="39" fillId="12" borderId="19" xfId="0" applyFont="1" applyFill="1" applyBorder="1"/>
    <xf numFmtId="0" fontId="40" fillId="12" borderId="20" xfId="0" applyFont="1" applyFill="1" applyBorder="1"/>
    <xf numFmtId="165" fontId="39" fillId="12" borderId="20" xfId="0" applyNumberFormat="1" applyFont="1" applyFill="1" applyBorder="1"/>
    <xf numFmtId="44" fontId="39" fillId="12" borderId="21" xfId="0" applyNumberFormat="1" applyFont="1" applyFill="1" applyBorder="1"/>
    <xf numFmtId="0" fontId="37" fillId="4" borderId="10" xfId="0" applyFont="1" applyFill="1" applyBorder="1" applyAlignment="1">
      <alignment horizontal="right"/>
    </xf>
    <xf numFmtId="1" fontId="2" fillId="4" borderId="28" xfId="0" applyNumberFormat="1" applyFont="1" applyFill="1" applyBorder="1" applyAlignment="1">
      <alignment horizontal="right"/>
    </xf>
    <xf numFmtId="0" fontId="37" fillId="4" borderId="10" xfId="0" applyFont="1" applyFill="1" applyBorder="1" applyAlignment="1">
      <alignment horizontal="left"/>
    </xf>
    <xf numFmtId="0" fontId="41" fillId="4" borderId="10" xfId="0" applyFont="1" applyFill="1" applyBorder="1" applyAlignment="1">
      <alignment horizontal="left"/>
    </xf>
    <xf numFmtId="2" fontId="2" fillId="4" borderId="0" xfId="0" applyNumberFormat="1" applyFont="1" applyFill="1" applyBorder="1"/>
    <xf numFmtId="0" fontId="5" fillId="4" borderId="0" xfId="0" applyFont="1" applyFill="1" applyBorder="1" applyAlignment="1">
      <alignment horizontal="right"/>
    </xf>
    <xf numFmtId="0" fontId="3" fillId="2" borderId="8"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8" xfId="0" applyFont="1" applyFill="1" applyBorder="1" applyAlignment="1">
      <alignment horizontal="center"/>
    </xf>
    <xf numFmtId="0" fontId="3" fillId="2" borderId="31" xfId="0" applyFont="1" applyFill="1" applyBorder="1" applyAlignment="1">
      <alignment horizontal="center"/>
    </xf>
    <xf numFmtId="0" fontId="3" fillId="2" borderId="5" xfId="0" applyFont="1" applyFill="1" applyBorder="1" applyAlignment="1">
      <alignment horizontal="center"/>
    </xf>
    <xf numFmtId="0" fontId="3" fillId="2" borderId="30" xfId="0" applyFont="1" applyFill="1" applyBorder="1" applyAlignment="1">
      <alignment horizontal="center"/>
    </xf>
    <xf numFmtId="0" fontId="7" fillId="2" borderId="3" xfId="0" applyFont="1" applyFill="1" applyBorder="1" applyAlignment="1">
      <alignment horizontal="left"/>
    </xf>
    <xf numFmtId="0" fontId="2" fillId="4" borderId="0" xfId="0" applyFont="1" applyFill="1" applyBorder="1" applyAlignment="1">
      <alignment horizontal="right"/>
    </xf>
    <xf numFmtId="0" fontId="4" fillId="4" borderId="0" xfId="0" applyFont="1" applyFill="1" applyBorder="1" applyAlignment="1">
      <alignment wrapText="1"/>
    </xf>
    <xf numFmtId="0" fontId="4" fillId="4" borderId="8" xfId="0" applyFont="1" applyFill="1" applyBorder="1" applyAlignment="1">
      <alignment horizontal="center" wrapText="1"/>
    </xf>
    <xf numFmtId="0" fontId="4" fillId="4" borderId="4" xfId="0" applyFont="1" applyFill="1" applyBorder="1" applyAlignment="1">
      <alignment horizontal="center" wrapText="1"/>
    </xf>
    <xf numFmtId="0" fontId="2" fillId="3" borderId="20" xfId="0" applyFont="1" applyFill="1" applyBorder="1" applyAlignment="1">
      <alignment horizontal="center"/>
    </xf>
    <xf numFmtId="0" fontId="2" fillId="4" borderId="4" xfId="0" applyFont="1" applyFill="1" applyBorder="1" applyAlignment="1">
      <alignment horizontal="center"/>
    </xf>
    <xf numFmtId="0" fontId="2" fillId="4" borderId="1" xfId="0" applyFont="1" applyFill="1" applyBorder="1" applyAlignment="1">
      <alignment horizontal="center"/>
    </xf>
    <xf numFmtId="0" fontId="2" fillId="2" borderId="17" xfId="0" applyFont="1" applyFill="1" applyBorder="1"/>
    <xf numFmtId="0" fontId="2" fillId="4" borderId="41" xfId="0" applyFont="1" applyFill="1" applyBorder="1" applyAlignment="1">
      <alignment horizontal="right"/>
    </xf>
    <xf numFmtId="0" fontId="2" fillId="4" borderId="13" xfId="0" applyFont="1" applyFill="1" applyBorder="1"/>
    <xf numFmtId="0" fontId="2" fillId="4" borderId="42" xfId="0" applyFont="1" applyFill="1" applyBorder="1"/>
    <xf numFmtId="0" fontId="2" fillId="4" borderId="40" xfId="0" applyFont="1" applyFill="1" applyBorder="1"/>
    <xf numFmtId="44" fontId="2" fillId="4" borderId="33" xfId="0" applyNumberFormat="1" applyFont="1" applyFill="1" applyBorder="1"/>
    <xf numFmtId="0" fontId="2" fillId="5" borderId="7" xfId="0" applyFont="1" applyFill="1" applyBorder="1" applyProtection="1">
      <protection locked="0"/>
    </xf>
    <xf numFmtId="0" fontId="2" fillId="5" borderId="7" xfId="0" applyFont="1" applyFill="1" applyBorder="1" applyAlignment="1" applyProtection="1">
      <alignment horizontal="right"/>
      <protection locked="0"/>
    </xf>
    <xf numFmtId="9" fontId="2" fillId="5" borderId="7" xfId="0" applyNumberFormat="1" applyFont="1" applyFill="1" applyBorder="1" applyProtection="1">
      <protection locked="0"/>
    </xf>
    <xf numFmtId="1" fontId="2" fillId="5" borderId="7" xfId="0" applyNumberFormat="1" applyFont="1" applyFill="1" applyBorder="1" applyAlignment="1" applyProtection="1">
      <alignment horizontal="right"/>
      <protection locked="0"/>
    </xf>
    <xf numFmtId="9" fontId="2" fillId="5" borderId="7" xfId="3" applyFont="1" applyFill="1" applyBorder="1" applyProtection="1">
      <protection locked="0"/>
    </xf>
    <xf numFmtId="0" fontId="6" fillId="5" borderId="7" xfId="0" applyFont="1" applyFill="1" applyBorder="1" applyProtection="1">
      <protection locked="0"/>
    </xf>
    <xf numFmtId="44" fontId="2" fillId="5" borderId="7" xfId="2" applyFont="1" applyFill="1" applyBorder="1" applyProtection="1">
      <protection locked="0"/>
    </xf>
    <xf numFmtId="1" fontId="2" fillId="5" borderId="7" xfId="2" applyNumberFormat="1" applyFont="1" applyFill="1" applyBorder="1" applyProtection="1">
      <protection locked="0"/>
    </xf>
    <xf numFmtId="44" fontId="2" fillId="5" borderId="2" xfId="2" applyFont="1" applyFill="1" applyBorder="1" applyProtection="1">
      <protection locked="0"/>
    </xf>
    <xf numFmtId="0" fontId="2" fillId="5" borderId="2" xfId="0" applyFont="1" applyFill="1" applyBorder="1" applyProtection="1">
      <protection locked="0"/>
    </xf>
    <xf numFmtId="165" fontId="2" fillId="5" borderId="7" xfId="2" applyNumberFormat="1" applyFont="1" applyFill="1" applyBorder="1" applyProtection="1">
      <protection locked="0"/>
    </xf>
    <xf numFmtId="44" fontId="6" fillId="5" borderId="7" xfId="0" applyNumberFormat="1" applyFont="1" applyFill="1" applyBorder="1" applyProtection="1">
      <protection locked="0"/>
    </xf>
    <xf numFmtId="44" fontId="2" fillId="5" borderId="7" xfId="0" applyNumberFormat="1" applyFont="1" applyFill="1" applyBorder="1" applyProtection="1">
      <protection locked="0"/>
    </xf>
    <xf numFmtId="0" fontId="5" fillId="5" borderId="7" xfId="0" applyFont="1" applyFill="1" applyBorder="1" applyProtection="1">
      <protection locked="0"/>
    </xf>
    <xf numFmtId="44" fontId="2" fillId="5" borderId="7" xfId="2" applyFont="1" applyFill="1" applyBorder="1" applyAlignment="1" applyProtection="1">
      <alignment horizontal="right"/>
      <protection locked="0"/>
    </xf>
    <xf numFmtId="44" fontId="6" fillId="5" borderId="25" xfId="0" applyNumberFormat="1" applyFont="1" applyFill="1" applyBorder="1" applyProtection="1">
      <protection locked="0"/>
    </xf>
    <xf numFmtId="44" fontId="2" fillId="5" borderId="25" xfId="2" applyNumberFormat="1" applyFont="1" applyFill="1" applyBorder="1" applyProtection="1">
      <protection locked="0"/>
    </xf>
    <xf numFmtId="44" fontId="2" fillId="5" borderId="25" xfId="2" applyFont="1" applyFill="1" applyBorder="1" applyProtection="1">
      <protection locked="0"/>
    </xf>
    <xf numFmtId="0" fontId="9" fillId="6" borderId="17" xfId="0" applyFont="1" applyFill="1" applyBorder="1" applyProtection="1"/>
    <xf numFmtId="0" fontId="2" fillId="5" borderId="18" xfId="0" applyFont="1" applyFill="1" applyBorder="1" applyProtection="1">
      <protection locked="0"/>
    </xf>
    <xf numFmtId="44" fontId="2" fillId="5" borderId="25" xfId="0" applyNumberFormat="1" applyFont="1" applyFill="1" applyBorder="1" applyProtection="1">
      <protection locked="0"/>
    </xf>
    <xf numFmtId="0" fontId="2" fillId="5" borderId="18" xfId="0" applyFont="1" applyFill="1" applyBorder="1" applyAlignment="1" applyProtection="1">
      <alignment horizontal="right"/>
      <protection locked="0"/>
    </xf>
    <xf numFmtId="44" fontId="3" fillId="2" borderId="8" xfId="0" applyNumberFormat="1" applyFont="1" applyFill="1" applyBorder="1" applyAlignment="1">
      <alignment horizontal="center"/>
    </xf>
    <xf numFmtId="44" fontId="3" fillId="2" borderId="31" xfId="0" applyNumberFormat="1" applyFont="1" applyFill="1" applyBorder="1" applyAlignment="1">
      <alignment horizontal="center"/>
    </xf>
    <xf numFmtId="44" fontId="42" fillId="2" borderId="43" xfId="0" applyNumberFormat="1" applyFont="1" applyFill="1" applyBorder="1" applyAlignment="1">
      <alignment horizontal="center"/>
    </xf>
    <xf numFmtId="164" fontId="2" fillId="4" borderId="0" xfId="1" applyNumberFormat="1" applyFont="1" applyFill="1" applyBorder="1" applyAlignment="1">
      <alignment horizontal="center"/>
    </xf>
    <xf numFmtId="0" fontId="2" fillId="5" borderId="7" xfId="0" applyFont="1" applyFill="1" applyBorder="1" applyAlignment="1" applyProtection="1">
      <alignment horizontal="center"/>
      <protection locked="0"/>
    </xf>
    <xf numFmtId="166" fontId="2" fillId="4" borderId="0" xfId="0" applyNumberFormat="1" applyFont="1" applyFill="1" applyBorder="1" applyAlignment="1">
      <alignment horizontal="right"/>
    </xf>
    <xf numFmtId="0" fontId="45" fillId="0" borderId="0" xfId="0" applyFont="1" applyAlignment="1">
      <alignment vertical="center"/>
    </xf>
    <xf numFmtId="0" fontId="45" fillId="0" borderId="0" xfId="0" applyFont="1"/>
    <xf numFmtId="0" fontId="48" fillId="0" borderId="0" xfId="4" applyFont="1" applyAlignment="1">
      <alignment vertical="center"/>
    </xf>
    <xf numFmtId="0" fontId="20" fillId="0" borderId="0" xfId="4" applyFont="1" applyFill="1" applyBorder="1"/>
    <xf numFmtId="0" fontId="26" fillId="0" borderId="0" xfId="4" applyFont="1" applyFill="1" applyBorder="1" applyAlignment="1">
      <alignment horizontal="right"/>
    </xf>
    <xf numFmtId="14" fontId="26" fillId="0" borderId="0" xfId="4" applyNumberFormat="1" applyFont="1" applyFill="1" applyBorder="1" applyAlignment="1">
      <alignment horizontal="left"/>
    </xf>
    <xf numFmtId="0" fontId="31" fillId="0" borderId="0" xfId="0" applyFont="1" applyFill="1" applyBorder="1" applyAlignment="1">
      <alignment horizontal="center"/>
    </xf>
    <xf numFmtId="0" fontId="11" fillId="0" borderId="0" xfId="0" applyFont="1" applyFill="1"/>
    <xf numFmtId="0" fontId="24" fillId="0" borderId="0" xfId="0" applyFont="1" applyFill="1"/>
    <xf numFmtId="0" fontId="49" fillId="0" borderId="0" xfId="0" applyFont="1" applyFill="1" applyAlignment="1">
      <alignment vertical="center"/>
    </xf>
    <xf numFmtId="0" fontId="11" fillId="0" borderId="0" xfId="0" applyFont="1" applyFill="1" applyAlignment="1">
      <alignment horizontal="center"/>
    </xf>
    <xf numFmtId="0" fontId="0" fillId="0" borderId="0" xfId="0" applyFill="1" applyAlignment="1">
      <alignment vertical="center"/>
    </xf>
    <xf numFmtId="0" fontId="0" fillId="0" borderId="0" xfId="0" applyFill="1" applyAlignment="1">
      <alignment horizontal="left" vertical="center" indent="5"/>
    </xf>
    <xf numFmtId="0" fontId="0" fillId="0" borderId="0" xfId="0" applyFill="1" applyAlignment="1">
      <alignment horizontal="left" vertical="center" indent="4"/>
    </xf>
    <xf numFmtId="0" fontId="1" fillId="0" borderId="0" xfId="0" applyFont="1" applyFill="1" applyAlignment="1">
      <alignment vertical="center"/>
    </xf>
    <xf numFmtId="0" fontId="36" fillId="0" borderId="0" xfId="0" applyFont="1" applyFill="1" applyAlignment="1">
      <alignment vertical="center"/>
    </xf>
    <xf numFmtId="0" fontId="11" fillId="0" borderId="0" xfId="0" applyFont="1" applyFill="1" applyAlignment="1">
      <alignment horizontal="left" vertical="center" indent="5"/>
    </xf>
    <xf numFmtId="168" fontId="2" fillId="4" borderId="0" xfId="1" applyNumberFormat="1" applyFont="1" applyFill="1" applyBorder="1" applyAlignment="1">
      <alignment vertical="center"/>
    </xf>
    <xf numFmtId="168" fontId="2" fillId="4" borderId="0" xfId="1" applyNumberFormat="1" applyFont="1" applyFill="1" applyBorder="1" applyAlignment="1">
      <alignment horizontal="center"/>
    </xf>
    <xf numFmtId="0" fontId="29" fillId="0" borderId="0" xfId="4" applyFont="1" applyAlignment="1">
      <alignment horizontal="left" vertical="center" wrapText="1"/>
    </xf>
    <xf numFmtId="0" fontId="33" fillId="0" borderId="0" xfId="5" applyFont="1" applyAlignment="1" applyProtection="1"/>
    <xf numFmtId="0" fontId="35" fillId="0" borderId="0" xfId="6" applyFont="1" applyAlignment="1" applyProtection="1"/>
    <xf numFmtId="0" fontId="29" fillId="0" borderId="0" xfId="4" applyFont="1" applyAlignment="1">
      <alignment horizontal="left" vertical="top" wrapText="1"/>
    </xf>
    <xf numFmtId="0" fontId="20" fillId="9" borderId="10" xfId="4" applyFont="1" applyFill="1" applyBorder="1" applyAlignment="1">
      <alignment horizontal="left" wrapText="1"/>
    </xf>
    <xf numFmtId="0" fontId="20" fillId="9" borderId="0" xfId="4" applyFont="1" applyFill="1" applyAlignment="1">
      <alignment horizontal="left" wrapText="1"/>
    </xf>
    <xf numFmtId="0" fontId="26" fillId="9" borderId="1" xfId="4" applyFont="1" applyFill="1" applyBorder="1" applyAlignment="1">
      <alignment horizontal="right"/>
    </xf>
    <xf numFmtId="14" fontId="26" fillId="9" borderId="1" xfId="4" applyNumberFormat="1" applyFont="1" applyFill="1" applyBorder="1" applyAlignment="1">
      <alignment horizontal="left"/>
    </xf>
    <xf numFmtId="0" fontId="46" fillId="4" borderId="23" xfId="0" applyFont="1" applyFill="1" applyBorder="1" applyAlignment="1">
      <alignment horizontal="left"/>
    </xf>
    <xf numFmtId="0" fontId="46" fillId="4" borderId="28" xfId="0" applyFont="1" applyFill="1" applyBorder="1" applyAlignment="1">
      <alignment horizontal="left"/>
    </xf>
    <xf numFmtId="0" fontId="46" fillId="4" borderId="16" xfId="0" applyFont="1" applyFill="1" applyBorder="1" applyAlignment="1">
      <alignment horizontal="left"/>
    </xf>
    <xf numFmtId="0" fontId="31" fillId="8" borderId="22" xfId="0" applyFont="1" applyFill="1" applyBorder="1" applyAlignment="1">
      <alignment horizontal="center"/>
    </xf>
    <xf numFmtId="0" fontId="31" fillId="8" borderId="24" xfId="0" applyFont="1" applyFill="1" applyBorder="1" applyAlignment="1">
      <alignment horizontal="center"/>
    </xf>
    <xf numFmtId="0" fontId="31" fillId="8" borderId="27" xfId="0" applyFont="1" applyFill="1" applyBorder="1" applyAlignment="1">
      <alignment horizontal="center"/>
    </xf>
    <xf numFmtId="0" fontId="31" fillId="8" borderId="18" xfId="0" applyFont="1" applyFill="1" applyBorder="1" applyAlignment="1">
      <alignment horizontal="center"/>
    </xf>
    <xf numFmtId="0" fontId="31" fillId="8" borderId="7" xfId="0" applyFont="1" applyFill="1" applyBorder="1" applyAlignment="1">
      <alignment horizontal="center"/>
    </xf>
    <xf numFmtId="0" fontId="31" fillId="8" borderId="25" xfId="0" applyFont="1" applyFill="1" applyBorder="1" applyAlignment="1">
      <alignment horizontal="center"/>
    </xf>
    <xf numFmtId="0" fontId="46" fillId="4" borderId="18" xfId="0" applyFont="1" applyFill="1" applyBorder="1" applyAlignment="1">
      <alignment horizontal="left"/>
    </xf>
    <xf numFmtId="0" fontId="46" fillId="4" borderId="7" xfId="0" applyFont="1" applyFill="1" applyBorder="1" applyAlignment="1">
      <alignment horizontal="left"/>
    </xf>
    <xf numFmtId="0" fontId="46" fillId="4" borderId="25" xfId="0" applyFont="1" applyFill="1" applyBorder="1" applyAlignment="1">
      <alignment horizontal="left"/>
    </xf>
    <xf numFmtId="0" fontId="31" fillId="8" borderId="23" xfId="0" applyFont="1" applyFill="1" applyBorder="1" applyAlignment="1">
      <alignment horizontal="center"/>
    </xf>
    <xf numFmtId="0" fontId="31" fillId="8" borderId="28" xfId="0" applyFont="1" applyFill="1" applyBorder="1" applyAlignment="1">
      <alignment horizontal="center"/>
    </xf>
    <xf numFmtId="0" fontId="31" fillId="8" borderId="16" xfId="0" applyFont="1" applyFill="1" applyBorder="1" applyAlignment="1">
      <alignment horizontal="center"/>
    </xf>
    <xf numFmtId="0" fontId="10" fillId="6" borderId="19" xfId="0" applyFont="1" applyFill="1" applyBorder="1" applyAlignment="1">
      <alignment horizontal="center"/>
    </xf>
    <xf numFmtId="0" fontId="10" fillId="6" borderId="20" xfId="0" applyFont="1" applyFill="1" applyBorder="1" applyAlignment="1">
      <alignment horizontal="center"/>
    </xf>
    <xf numFmtId="0" fontId="10" fillId="6" borderId="21" xfId="0" applyFont="1" applyFill="1" applyBorder="1" applyAlignment="1">
      <alignment horizontal="center"/>
    </xf>
    <xf numFmtId="0" fontId="37" fillId="4" borderId="3" xfId="0" applyFont="1" applyFill="1" applyBorder="1" applyAlignment="1">
      <alignment horizontal="center"/>
    </xf>
    <xf numFmtId="0" fontId="37" fillId="4" borderId="4" xfId="0" applyFont="1" applyFill="1" applyBorder="1" applyAlignment="1">
      <alignment horizontal="center"/>
    </xf>
    <xf numFmtId="0" fontId="37" fillId="4" borderId="5" xfId="0" applyFont="1" applyFill="1" applyBorder="1" applyAlignment="1">
      <alignment horizontal="center"/>
    </xf>
  </cellXfs>
  <cellStyles count="8">
    <cellStyle name="Comma" xfId="1" builtinId="3"/>
    <cellStyle name="Currency" xfId="2" builtinId="4"/>
    <cellStyle name="Hyperlink" xfId="5" builtinId="8"/>
    <cellStyle name="Hyperlink 2" xfId="6" xr:uid="{A0EBF33F-2C06-4C8A-998B-53C192F1C4F0}"/>
    <cellStyle name="Hyperlink_K-State Vegetative Buffer" xfId="7" xr:uid="{269E6DBA-C941-4C74-BDF9-CB344F155103}"/>
    <cellStyle name="Normal" xfId="0" builtinId="0"/>
    <cellStyle name="Normal 2" xfId="4" xr:uid="{56DAD576-0A12-4806-8D8C-84FD9C28AF7B}"/>
    <cellStyle name="Percent" xfId="3" builtinId="5"/>
  </cellStyles>
  <dxfs count="0"/>
  <tableStyles count="0" defaultTableStyle="TableStyleMedium2" defaultPivotStyle="PivotStyleLight16"/>
  <colors>
    <mruColors>
      <color rgb="FFFFCCCC"/>
      <color rgb="FFDAC2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546853</xdr:colOff>
      <xdr:row>1</xdr:row>
      <xdr:rowOff>19040</xdr:rowOff>
    </xdr:from>
    <xdr:ext cx="1339739" cy="822971"/>
    <xdr:pic>
      <xdr:nvPicPr>
        <xdr:cNvPr id="4" name="Picture 3">
          <a:extLst>
            <a:ext uri="{FF2B5EF4-FFF2-40B4-BE49-F238E27FC236}">
              <a16:creationId xmlns:a16="http://schemas.microsoft.com/office/drawing/2014/main" id="{F049B8B7-791D-4D7D-A144-8DD0DFE305EC}"/>
            </a:ext>
          </a:extLst>
        </xdr:cNvPr>
        <xdr:cNvPicPr>
          <a:picLocks noChangeAspect="1"/>
        </xdr:cNvPicPr>
      </xdr:nvPicPr>
      <xdr:blipFill>
        <a:blip xmlns:r="http://schemas.openxmlformats.org/officeDocument/2006/relationships" r:embed="rId1"/>
        <a:stretch>
          <a:fillRect/>
        </a:stretch>
      </xdr:blipFill>
      <xdr:spPr>
        <a:xfrm>
          <a:off x="5904666" y="146040"/>
          <a:ext cx="1339739" cy="822971"/>
        </a:xfrm>
        <a:prstGeom prst="rect">
          <a:avLst/>
        </a:prstGeom>
      </xdr:spPr>
    </xdr:pic>
    <xdr:clientData/>
  </xdr:oneCellAnchor>
  <xdr:twoCellAnchor editAs="oneCell">
    <xdr:from>
      <xdr:col>0</xdr:col>
      <xdr:colOff>103143</xdr:colOff>
      <xdr:row>8</xdr:row>
      <xdr:rowOff>6349</xdr:rowOff>
    </xdr:from>
    <xdr:to>
      <xdr:col>11</xdr:col>
      <xdr:colOff>45</xdr:colOff>
      <xdr:row>35</xdr:row>
      <xdr:rowOff>65402</xdr:rowOff>
    </xdr:to>
    <xdr:pic>
      <xdr:nvPicPr>
        <xdr:cNvPr id="6" name="Picture 5">
          <a:extLst>
            <a:ext uri="{FF2B5EF4-FFF2-40B4-BE49-F238E27FC236}">
              <a16:creationId xmlns:a16="http://schemas.microsoft.com/office/drawing/2014/main" id="{C7B1818E-DC21-4EB3-AB56-6044C1812A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3143" y="1689099"/>
          <a:ext cx="8194235" cy="54883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650041</xdr:colOff>
      <xdr:row>1</xdr:row>
      <xdr:rowOff>34914</xdr:rowOff>
    </xdr:from>
    <xdr:ext cx="1339739" cy="822971"/>
    <xdr:pic>
      <xdr:nvPicPr>
        <xdr:cNvPr id="2" name="Picture 1">
          <a:extLst>
            <a:ext uri="{FF2B5EF4-FFF2-40B4-BE49-F238E27FC236}">
              <a16:creationId xmlns:a16="http://schemas.microsoft.com/office/drawing/2014/main" id="{44017D26-3298-4F9A-9372-155DF3D81361}"/>
            </a:ext>
          </a:extLst>
        </xdr:cNvPr>
        <xdr:cNvPicPr>
          <a:picLocks noChangeAspect="1"/>
        </xdr:cNvPicPr>
      </xdr:nvPicPr>
      <xdr:blipFill>
        <a:blip xmlns:r="http://schemas.openxmlformats.org/officeDocument/2006/relationships" r:embed="rId1"/>
        <a:stretch>
          <a:fillRect/>
        </a:stretch>
      </xdr:blipFill>
      <xdr:spPr>
        <a:xfrm>
          <a:off x="5872916" y="161914"/>
          <a:ext cx="1339739" cy="822971"/>
        </a:xfrm>
        <a:prstGeom prst="rect">
          <a:avLst/>
        </a:prstGeom>
      </xdr:spPr>
    </xdr:pic>
    <xdr:clientData/>
  </xdr:oneCellAnchor>
  <xdr:oneCellAnchor>
    <xdr:from>
      <xdr:col>2</xdr:col>
      <xdr:colOff>79375</xdr:colOff>
      <xdr:row>19</xdr:row>
      <xdr:rowOff>142874</xdr:rowOff>
    </xdr:from>
    <xdr:ext cx="8485188" cy="7651752"/>
    <xdr:sp macro="" textlink="">
      <xdr:nvSpPr>
        <xdr:cNvPr id="5" name="TextBox 4">
          <a:extLst>
            <a:ext uri="{FF2B5EF4-FFF2-40B4-BE49-F238E27FC236}">
              <a16:creationId xmlns:a16="http://schemas.microsoft.com/office/drawing/2014/main" id="{1AA6CCAD-5E20-4AA2-88EC-638CB530A41D}"/>
            </a:ext>
          </a:extLst>
        </xdr:cNvPr>
        <xdr:cNvSpPr txBox="1"/>
      </xdr:nvSpPr>
      <xdr:spPr>
        <a:xfrm>
          <a:off x="285750" y="4008437"/>
          <a:ext cx="8485188" cy="76517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u="sng">
              <a:solidFill>
                <a:schemeClr val="tx1"/>
              </a:solidFill>
              <a:effectLst/>
              <a:latin typeface="+mn-lt"/>
              <a:ea typeface="+mn-ea"/>
              <a:cs typeface="+mn-cs"/>
            </a:rPr>
            <a:t>Introduction</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The University of Nebraska-Lincoln Department of Agricultural Economics Extension and Outreach program has developed sheep and goat budget templates for use by producers in Nebraska. The budget templates contain an interface in which producers can customize production parameters to their specific operations. Enterprise budgets can serve as a useful guide for producers as they make management decisions. </a:t>
          </a:r>
        </a:p>
        <a:p>
          <a:endParaRPr lang="en-US" sz="1100">
            <a:solidFill>
              <a:schemeClr val="tx1"/>
            </a:solidFill>
            <a:effectLst/>
            <a:latin typeface="+mn-lt"/>
            <a:ea typeface="+mn-ea"/>
            <a:cs typeface="+mn-cs"/>
          </a:endParaRPr>
        </a:p>
        <a:p>
          <a:r>
            <a:rPr lang="en-US" sz="1100" u="sng">
              <a:solidFill>
                <a:schemeClr val="tx1"/>
              </a:solidFill>
              <a:effectLst/>
              <a:latin typeface="+mn-lt"/>
              <a:ea typeface="+mn-ea"/>
              <a:cs typeface="+mn-cs"/>
            </a:rPr>
            <a:t>How to Use</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Both the sheep and goat production budgets are organized identically and are designed to operate in the same way. The budgets include:</a:t>
          </a:r>
        </a:p>
        <a:p>
          <a:pPr marL="228600" lvl="0" indent="-228600">
            <a:buFont typeface="+mj-lt"/>
            <a:buAutoNum type="arabicParenR"/>
          </a:pPr>
          <a:r>
            <a:rPr lang="en-US" sz="1100">
              <a:solidFill>
                <a:schemeClr val="tx1"/>
              </a:solidFill>
              <a:effectLst/>
              <a:latin typeface="+mn-lt"/>
              <a:ea typeface="+mn-ea"/>
              <a:cs typeface="+mn-cs"/>
            </a:rPr>
            <a:t>Instructions – Provides instructions for how to navigate the spreadsheet.</a:t>
          </a:r>
        </a:p>
        <a:p>
          <a:pPr marL="228600" lvl="0" indent="-228600">
            <a:buFont typeface="+mj-lt"/>
            <a:buAutoNum type="arabicParenR"/>
          </a:pPr>
          <a:r>
            <a:rPr lang="en-US" sz="1100">
              <a:solidFill>
                <a:schemeClr val="tx1"/>
              </a:solidFill>
              <a:effectLst/>
              <a:latin typeface="+mn-lt"/>
              <a:ea typeface="+mn-ea"/>
              <a:cs typeface="+mn-cs"/>
            </a:rPr>
            <a:t>Summary Budget – Includes total income, variable cost, fixed cost, and breakeven calculations. </a:t>
          </a:r>
        </a:p>
        <a:p>
          <a:pPr marL="228600" lvl="0" indent="-228600">
            <a:buFont typeface="+mj-lt"/>
            <a:buAutoNum type="arabicParenR"/>
          </a:pPr>
          <a:r>
            <a:rPr lang="en-US" sz="1100">
              <a:solidFill>
                <a:schemeClr val="tx1"/>
              </a:solidFill>
              <a:effectLst/>
              <a:latin typeface="+mn-lt"/>
              <a:ea typeface="+mn-ea"/>
              <a:cs typeface="+mn-cs"/>
            </a:rPr>
            <a:t>Production Parameters – Contains customizable general flock, feed, and asset value information.</a:t>
          </a:r>
        </a:p>
        <a:p>
          <a:pPr marL="228600" lvl="0" indent="-228600">
            <a:buFont typeface="+mj-lt"/>
            <a:buAutoNum type="arabicParenR"/>
          </a:pPr>
          <a:r>
            <a:rPr lang="en-US" sz="1100">
              <a:solidFill>
                <a:schemeClr val="tx1"/>
              </a:solidFill>
              <a:effectLst/>
              <a:latin typeface="+mn-lt"/>
              <a:ea typeface="+mn-ea"/>
              <a:cs typeface="+mn-cs"/>
            </a:rPr>
            <a:t>Revenue – Contains a breakdown of the revenue components of sheep/goat production.</a:t>
          </a:r>
        </a:p>
        <a:p>
          <a:pPr marL="228600" lvl="0" indent="-228600">
            <a:buFont typeface="+mj-lt"/>
            <a:buAutoNum type="arabicParenR"/>
          </a:pPr>
          <a:r>
            <a:rPr lang="en-US" sz="1100">
              <a:solidFill>
                <a:schemeClr val="tx1"/>
              </a:solidFill>
              <a:effectLst/>
              <a:latin typeface="+mn-lt"/>
              <a:ea typeface="+mn-ea"/>
              <a:cs typeface="+mn-cs"/>
            </a:rPr>
            <a:t>Expenses -Variable – Includes a breakdown of production expenses that vary from year-to-year.</a:t>
          </a:r>
        </a:p>
        <a:p>
          <a:pPr marL="228600" lvl="0" indent="-228600">
            <a:buFont typeface="+mj-lt"/>
            <a:buAutoNum type="arabicParenR"/>
          </a:pPr>
          <a:r>
            <a:rPr lang="en-US" sz="1100">
              <a:solidFill>
                <a:schemeClr val="tx1"/>
              </a:solidFill>
              <a:effectLst/>
              <a:latin typeface="+mn-lt"/>
              <a:ea typeface="+mn-ea"/>
              <a:cs typeface="+mn-cs"/>
            </a:rPr>
            <a:t>Expenses - Fixed – Includes a breakdown of fixed and overhead expenses. </a:t>
          </a:r>
        </a:p>
        <a:p>
          <a:pPr marL="228600" lvl="0" indent="-228600">
            <a:buFont typeface="+mj-lt"/>
            <a:buAutoNum type="arabicParenR"/>
          </a:pPr>
          <a:r>
            <a:rPr lang="en-US" sz="1100">
              <a:solidFill>
                <a:schemeClr val="tx1"/>
              </a:solidFill>
              <a:effectLst/>
              <a:latin typeface="+mn-lt"/>
              <a:ea typeface="+mn-ea"/>
              <a:cs typeface="+mn-cs"/>
            </a:rPr>
            <a:t>Taxes – Contains common taxes paid by sheep/goat producers.</a:t>
          </a:r>
        </a:p>
        <a:p>
          <a:pPr marL="228600" lvl="0" indent="-228600">
            <a:buFont typeface="+mj-lt"/>
            <a:buAutoNum type="arabicParenR"/>
          </a:pPr>
          <a:r>
            <a:rPr lang="en-US" sz="1100">
              <a:solidFill>
                <a:schemeClr val="tx1"/>
              </a:solidFill>
              <a:effectLst/>
              <a:latin typeface="+mn-lt"/>
              <a:ea typeface="+mn-ea"/>
              <a:cs typeface="+mn-cs"/>
            </a:rPr>
            <a:t>Non-Farm Adjustments – Contains sources of other on and off-farm income that producers may include in their sheep or goat budgets.  </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To use, please follow the following guidelines: </a:t>
          </a:r>
        </a:p>
        <a:p>
          <a:pPr lvl="0"/>
          <a:r>
            <a:rPr lang="en-US" sz="1100">
              <a:solidFill>
                <a:schemeClr val="tx1"/>
              </a:solidFill>
              <a:effectLst/>
              <a:latin typeface="+mn-lt"/>
              <a:ea typeface="+mn-ea"/>
              <a:cs typeface="+mn-cs"/>
            </a:rPr>
            <a:t>The “Summary Budget” tab summarizes totals from the various budget worksheets or tabs.</a:t>
          </a:r>
        </a:p>
        <a:p>
          <a:pPr lvl="0"/>
          <a:r>
            <a:rPr lang="en-US" sz="1100">
              <a:solidFill>
                <a:schemeClr val="tx1"/>
              </a:solidFill>
              <a:effectLst/>
              <a:latin typeface="+mn-lt"/>
              <a:ea typeface="+mn-ea"/>
              <a:cs typeface="+mn-cs"/>
            </a:rPr>
            <a:t>Worksheet users should input numbers directly into the yellow highlighted cells in the “Production Parameters”, “Revenue”, “Expenses – Variable”, “Expenses – Fixed”, “Non-Farm Adjustments”, and “Taxes” tabs.</a:t>
          </a:r>
        </a:p>
        <a:p>
          <a:endParaRPr lang="en-US" sz="1100" u="sng">
            <a:solidFill>
              <a:schemeClr val="tx1"/>
            </a:solidFill>
            <a:effectLst/>
            <a:latin typeface="+mn-lt"/>
            <a:ea typeface="+mn-ea"/>
            <a:cs typeface="+mn-cs"/>
          </a:endParaRPr>
        </a:p>
        <a:p>
          <a:r>
            <a:rPr lang="en-US" sz="1100" u="sng">
              <a:solidFill>
                <a:schemeClr val="tx1"/>
              </a:solidFill>
              <a:effectLst/>
              <a:latin typeface="+mn-lt"/>
              <a:ea typeface="+mn-ea"/>
              <a:cs typeface="+mn-cs"/>
            </a:rPr>
            <a:t>Methods</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The market prices,</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cost estimates, and production parameters included in the sample budget were developed in consultaton with Nebraska sheep and goat producers. After</a:t>
          </a:r>
          <a:r>
            <a:rPr lang="en-US" sz="1100" baseline="0">
              <a:solidFill>
                <a:schemeClr val="tx1"/>
              </a:solidFill>
              <a:effectLst/>
              <a:latin typeface="+mn-lt"/>
              <a:ea typeface="+mn-ea"/>
              <a:cs typeface="+mn-cs"/>
            </a:rPr>
            <a:t> review of sample production budgets from producers, the template was drafted and presented to producers at their annual meetings. From there, revisions were made and the final budget template was completed and reviewed.  </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a:t>
          </a:r>
        </a:p>
        <a:p>
          <a:r>
            <a:rPr lang="en-US" sz="1100" u="none" strike="noStrike">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u="sng">
              <a:solidFill>
                <a:schemeClr val="tx1"/>
              </a:solidFill>
              <a:effectLst/>
              <a:latin typeface="+mn-lt"/>
              <a:ea typeface="+mn-ea"/>
              <a:cs typeface="+mn-cs"/>
            </a:rPr>
            <a:t>Assumptions</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Several assumptions were made in an effort to create a sheep budget representative of average operations. A few of the key assumptions are: </a:t>
          </a:r>
        </a:p>
        <a:p>
          <a:endParaRPr lang="en-US" sz="1100" i="1">
            <a:solidFill>
              <a:schemeClr val="tx1"/>
            </a:solidFill>
            <a:effectLst/>
            <a:latin typeface="+mn-lt"/>
            <a:ea typeface="+mn-ea"/>
            <a:cs typeface="+mn-cs"/>
          </a:endParaRPr>
        </a:p>
        <a:p>
          <a:r>
            <a:rPr lang="en-US" sz="1100" i="1">
              <a:solidFill>
                <a:schemeClr val="tx1"/>
              </a:solidFill>
              <a:effectLst/>
              <a:latin typeface="+mn-lt"/>
              <a:ea typeface="+mn-ea"/>
              <a:cs typeface="+mn-cs"/>
            </a:rPr>
            <a:t>Sheep Budget</a:t>
          </a:r>
          <a:endParaRPr lang="en-US" sz="1100">
            <a:solidFill>
              <a:schemeClr val="tx1"/>
            </a:solidFill>
            <a:effectLst/>
            <a:latin typeface="+mn-lt"/>
            <a:ea typeface="+mn-ea"/>
            <a:cs typeface="+mn-cs"/>
          </a:endParaRPr>
        </a:p>
        <a:p>
          <a:pPr marL="171450" lvl="0" indent="-171450">
            <a:buFont typeface="Arial" panose="020B0604020202020204" pitchFamily="34" charset="0"/>
            <a:buChar char="•"/>
          </a:pPr>
          <a:r>
            <a:rPr lang="en-US" sz="1100">
              <a:solidFill>
                <a:schemeClr val="tx1"/>
              </a:solidFill>
              <a:effectLst/>
              <a:latin typeface="+mn-lt"/>
              <a:ea typeface="+mn-ea"/>
              <a:cs typeface="+mn-cs"/>
            </a:rPr>
            <a:t>Breeding Flock Size: 250 ewes</a:t>
          </a:r>
        </a:p>
        <a:p>
          <a:pPr marL="171450" lvl="0" indent="-171450">
            <a:buFont typeface="Arial" panose="020B0604020202020204" pitchFamily="34" charset="0"/>
            <a:buChar char="•"/>
          </a:pPr>
          <a:r>
            <a:rPr lang="en-US" sz="1100">
              <a:solidFill>
                <a:schemeClr val="tx1"/>
              </a:solidFill>
              <a:effectLst/>
              <a:latin typeface="+mn-lt"/>
              <a:ea typeface="+mn-ea"/>
              <a:cs typeface="+mn-cs"/>
            </a:rPr>
            <a:t>Lambs Born: 350 head/year</a:t>
          </a:r>
        </a:p>
        <a:p>
          <a:pPr marL="171450" lvl="0" indent="-171450">
            <a:buFont typeface="Arial" panose="020B0604020202020204" pitchFamily="34" charset="0"/>
            <a:buChar char="•"/>
          </a:pPr>
          <a:r>
            <a:rPr lang="en-US" sz="1100">
              <a:solidFill>
                <a:schemeClr val="tx1"/>
              </a:solidFill>
              <a:effectLst/>
              <a:latin typeface="+mn-lt"/>
              <a:ea typeface="+mn-ea"/>
              <a:cs typeface="+mn-cs"/>
            </a:rPr>
            <a:t>Lambs Weaned: 329 head/year</a:t>
          </a:r>
        </a:p>
        <a:p>
          <a:pPr marL="171450" lvl="0" indent="-171450">
            <a:buFont typeface="Arial" panose="020B0604020202020204" pitchFamily="34" charset="0"/>
            <a:buChar char="•"/>
          </a:pPr>
          <a:r>
            <a:rPr lang="en-US" sz="1100">
              <a:solidFill>
                <a:schemeClr val="tx1"/>
              </a:solidFill>
              <a:effectLst/>
              <a:latin typeface="+mn-lt"/>
              <a:ea typeface="+mn-ea"/>
              <a:cs typeface="+mn-cs"/>
            </a:rPr>
            <a:t>Lamb Weaning Weight: 75 pounds</a:t>
          </a:r>
        </a:p>
        <a:p>
          <a:pPr marL="171450" lvl="0" indent="-171450">
            <a:buFont typeface="Arial" panose="020B0604020202020204" pitchFamily="34" charset="0"/>
            <a:buChar char="•"/>
          </a:pPr>
          <a:r>
            <a:rPr lang="en-US" sz="1100">
              <a:solidFill>
                <a:schemeClr val="tx1"/>
              </a:solidFill>
              <a:effectLst/>
              <a:latin typeface="+mn-lt"/>
              <a:ea typeface="+mn-ea"/>
              <a:cs typeface="+mn-cs"/>
            </a:rPr>
            <a:t>Lambs Sold at Weaning: 0 head/year</a:t>
          </a:r>
        </a:p>
        <a:p>
          <a:pPr marL="171450" lvl="0" indent="-171450">
            <a:buFont typeface="Arial" panose="020B0604020202020204" pitchFamily="34" charset="0"/>
            <a:buChar char="•"/>
          </a:pPr>
          <a:r>
            <a:rPr lang="en-US" sz="1100">
              <a:solidFill>
                <a:schemeClr val="tx1"/>
              </a:solidFill>
              <a:effectLst/>
              <a:latin typeface="+mn-lt"/>
              <a:ea typeface="+mn-ea"/>
              <a:cs typeface="+mn-cs"/>
            </a:rPr>
            <a:t>Total Lambs Finished: 319 head/year</a:t>
          </a:r>
        </a:p>
        <a:p>
          <a:endParaRPr lang="en-US" sz="1100" u="sng">
            <a:solidFill>
              <a:schemeClr val="tx1"/>
            </a:solidFill>
            <a:effectLst/>
            <a:latin typeface="+mn-lt"/>
            <a:ea typeface="+mn-ea"/>
            <a:cs typeface="+mn-cs"/>
          </a:endParaRPr>
        </a:p>
        <a:p>
          <a:r>
            <a:rPr lang="en-US" sz="1100" u="sng">
              <a:solidFill>
                <a:schemeClr val="tx1"/>
              </a:solidFill>
              <a:effectLst/>
              <a:latin typeface="+mn-lt"/>
              <a:ea typeface="+mn-ea"/>
              <a:cs typeface="+mn-cs"/>
            </a:rPr>
            <a:t>Conclusion</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The University of Nebraska-Lincoln sheep and goat budget templates were developed to help producers project the value of sheep production and net revenue. This tool is not intended to represent any one operation, but rather to reflect production rates, market prices, and average cost estimates. Each individual operation should adjust key inputs and local market prices to reflect their own situation.</a:t>
          </a: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8AC89-FA2A-4B3A-8BAC-5D75BAEFCBF7}">
  <dimension ref="A1:N56"/>
  <sheetViews>
    <sheetView showGridLines="0" zoomScale="120" zoomScaleNormal="120" workbookViewId="0">
      <selection activeCell="C2" sqref="C2"/>
    </sheetView>
  </sheetViews>
  <sheetFormatPr defaultColWidth="7.28515625" defaultRowHeight="15" x14ac:dyDescent="0.25"/>
  <cols>
    <col min="1" max="2" width="1.42578125" style="75" customWidth="1"/>
    <col min="3" max="7" width="10.140625" style="75" customWidth="1"/>
    <col min="8" max="8" width="26.7109375" style="75" customWidth="1"/>
    <col min="9" max="10" width="10.140625" style="75" customWidth="1"/>
    <col min="11" max="11" width="8.140625" style="75" customWidth="1"/>
    <col min="12" max="12" width="1.140625" style="75" hidden="1" customWidth="1"/>
    <col min="13" max="13" width="1.42578125" style="75" customWidth="1"/>
    <col min="14" max="14" width="1.28515625" style="75" customWidth="1"/>
    <col min="15" max="16384" width="7.28515625" style="75"/>
  </cols>
  <sheetData>
    <row r="1" spans="1:13" ht="9.9499999999999993" customHeight="1" thickBot="1" x14ac:dyDescent="0.3">
      <c r="A1" s="1"/>
      <c r="B1" s="1"/>
    </row>
    <row r="2" spans="1:13" ht="15.75" x14ac:dyDescent="0.25">
      <c r="B2" s="116"/>
      <c r="C2" s="117"/>
      <c r="D2" s="117"/>
      <c r="E2" s="117"/>
      <c r="F2" s="117"/>
      <c r="G2" s="117"/>
      <c r="H2" s="117"/>
      <c r="I2" s="117"/>
      <c r="J2" s="117"/>
      <c r="K2" s="117"/>
      <c r="L2" s="118"/>
      <c r="M2"/>
    </row>
    <row r="3" spans="1:13" ht="26.25" x14ac:dyDescent="0.4">
      <c r="B3" s="119" t="s">
        <v>149</v>
      </c>
      <c r="C3" s="120"/>
      <c r="D3" s="120"/>
      <c r="E3" s="120"/>
      <c r="F3" s="120"/>
      <c r="G3" s="120"/>
      <c r="H3" s="121"/>
      <c r="I3" s="121"/>
      <c r="J3" s="121"/>
      <c r="K3" s="121"/>
      <c r="L3" s="122"/>
      <c r="M3"/>
    </row>
    <row r="4" spans="1:13" ht="17.25" x14ac:dyDescent="0.3">
      <c r="B4" s="123"/>
      <c r="C4" s="124"/>
      <c r="D4" s="125"/>
      <c r="E4" s="125"/>
      <c r="F4" s="126"/>
      <c r="G4" s="126"/>
      <c r="H4" s="121"/>
      <c r="I4" s="121"/>
      <c r="J4" s="121"/>
      <c r="K4" s="121"/>
      <c r="L4" s="122"/>
      <c r="M4"/>
    </row>
    <row r="5" spans="1:13" ht="15.75" x14ac:dyDescent="0.25">
      <c r="B5" s="274" t="s">
        <v>150</v>
      </c>
      <c r="C5" s="275"/>
      <c r="D5" s="275"/>
      <c r="E5" s="275"/>
      <c r="F5" s="275"/>
      <c r="G5" s="275"/>
      <c r="H5" s="275"/>
      <c r="I5" s="275"/>
      <c r="J5" s="121"/>
      <c r="K5" s="121"/>
      <c r="L5" s="122"/>
      <c r="M5" s="127"/>
    </row>
    <row r="6" spans="1:13" ht="15.75" x14ac:dyDescent="0.25">
      <c r="B6" s="274"/>
      <c r="C6" s="275"/>
      <c r="D6" s="275"/>
      <c r="E6" s="275"/>
      <c r="F6" s="275"/>
      <c r="G6" s="275"/>
      <c r="H6" s="275"/>
      <c r="I6" s="275"/>
      <c r="J6" s="121"/>
      <c r="K6" s="121"/>
      <c r="L6" s="122"/>
      <c r="M6" s="127"/>
    </row>
    <row r="7" spans="1:13" ht="15.75" x14ac:dyDescent="0.25">
      <c r="B7" s="128"/>
      <c r="C7" s="129"/>
      <c r="D7" s="129"/>
      <c r="E7" s="129"/>
      <c r="F7" s="129"/>
      <c r="G7" s="129"/>
      <c r="H7" s="129"/>
      <c r="I7" s="121"/>
      <c r="J7" s="121"/>
      <c r="K7" s="121"/>
      <c r="L7" s="122"/>
      <c r="M7" s="127"/>
    </row>
    <row r="8" spans="1:13" ht="16.5" thickBot="1" x14ac:dyDescent="0.3">
      <c r="B8" s="130"/>
      <c r="C8" s="276"/>
      <c r="D8" s="276"/>
      <c r="E8" s="277"/>
      <c r="F8" s="277"/>
      <c r="G8" s="131"/>
      <c r="H8" s="131"/>
      <c r="I8" s="131"/>
      <c r="J8" s="131"/>
      <c r="K8" s="132" t="s">
        <v>259</v>
      </c>
      <c r="L8" s="132" t="s">
        <v>247</v>
      </c>
      <c r="M8" s="127"/>
    </row>
    <row r="9" spans="1:13" ht="15.75" x14ac:dyDescent="0.25">
      <c r="B9" s="133"/>
      <c r="C9" s="133"/>
      <c r="D9" s="133"/>
      <c r="E9" s="133"/>
      <c r="F9" s="133"/>
      <c r="G9" s="133"/>
      <c r="H9" s="133"/>
      <c r="I9" s="133"/>
      <c r="J9" s="133"/>
      <c r="K9" s="133"/>
      <c r="L9" s="133"/>
      <c r="M9" s="127"/>
    </row>
    <row r="10" spans="1:13" ht="15.75" x14ac:dyDescent="0.25">
      <c r="B10" s="127"/>
      <c r="C10" s="127"/>
      <c r="D10"/>
      <c r="E10" s="127"/>
      <c r="F10" s="127"/>
      <c r="G10" s="127"/>
      <c r="H10" s="127"/>
      <c r="I10" s="127"/>
      <c r="J10" s="127"/>
      <c r="K10" s="127"/>
      <c r="L10" s="127"/>
      <c r="M10" s="127"/>
    </row>
    <row r="11" spans="1:13" ht="15.75" x14ac:dyDescent="0.25">
      <c r="B11" s="127"/>
      <c r="C11" s="127"/>
      <c r="D11" s="127"/>
      <c r="E11"/>
      <c r="F11" s="127"/>
      <c r="G11" s="127"/>
      <c r="H11" s="127"/>
      <c r="I11" s="127"/>
      <c r="J11" s="127"/>
      <c r="K11" s="127"/>
      <c r="L11" s="127"/>
      <c r="M11" s="127"/>
    </row>
    <row r="12" spans="1:13" ht="15.75" x14ac:dyDescent="0.25">
      <c r="B12" s="127"/>
      <c r="C12" s="127"/>
      <c r="D12" s="127"/>
      <c r="E12" s="127"/>
      <c r="F12" s="127"/>
      <c r="G12" s="127"/>
      <c r="H12" s="127"/>
      <c r="I12" s="127"/>
      <c r="J12" s="127"/>
      <c r="K12" s="127"/>
      <c r="L12" s="127"/>
      <c r="M12" s="127"/>
    </row>
    <row r="13" spans="1:13" ht="15.75" x14ac:dyDescent="0.25">
      <c r="B13" s="127"/>
      <c r="C13" s="127"/>
      <c r="D13" s="127"/>
      <c r="E13" s="127"/>
      <c r="F13" s="127"/>
      <c r="G13" s="127"/>
      <c r="H13" s="127"/>
      <c r="I13" s="127"/>
      <c r="J13" s="127"/>
      <c r="K13" s="127"/>
      <c r="L13" s="127"/>
      <c r="M13" s="127"/>
    </row>
    <row r="14" spans="1:13" ht="15.75" x14ac:dyDescent="0.25">
      <c r="B14" s="127"/>
      <c r="C14" s="127"/>
      <c r="D14" s="127"/>
      <c r="E14" s="127"/>
      <c r="F14" s="127"/>
      <c r="G14" s="127"/>
      <c r="H14" s="127"/>
      <c r="I14" s="127"/>
      <c r="J14" s="127"/>
      <c r="K14" s="127"/>
      <c r="L14" s="127"/>
      <c r="M14" s="127"/>
    </row>
    <row r="15" spans="1:13" ht="15.75" x14ac:dyDescent="0.25">
      <c r="B15" s="127"/>
      <c r="C15" s="127"/>
      <c r="D15" s="127"/>
      <c r="E15" s="127"/>
      <c r="F15" s="127"/>
      <c r="G15" s="127"/>
      <c r="H15" s="127"/>
      <c r="I15" s="127"/>
      <c r="J15" s="127"/>
      <c r="K15" s="127"/>
      <c r="L15" s="127"/>
      <c r="M15" s="127"/>
    </row>
    <row r="16" spans="1:13" ht="15.75" x14ac:dyDescent="0.25">
      <c r="B16" s="127"/>
      <c r="C16" s="127"/>
      <c r="D16" s="127"/>
      <c r="E16" s="127"/>
      <c r="F16" s="127"/>
      <c r="G16" s="127"/>
      <c r="H16" s="127"/>
      <c r="I16" s="127"/>
      <c r="J16" s="127"/>
      <c r="K16" s="127"/>
      <c r="L16" s="127"/>
      <c r="M16" s="127"/>
    </row>
    <row r="17" spans="2:13" ht="15.75" x14ac:dyDescent="0.25">
      <c r="B17" s="127"/>
      <c r="C17" s="127"/>
      <c r="D17" s="127"/>
      <c r="E17" s="127"/>
      <c r="F17" s="127"/>
      <c r="G17" s="127"/>
      <c r="H17" s="127"/>
      <c r="I17" s="127"/>
      <c r="J17" s="127"/>
      <c r="K17" s="127"/>
      <c r="L17" s="127"/>
      <c r="M17" s="127"/>
    </row>
    <row r="18" spans="2:13" ht="15.75" x14ac:dyDescent="0.25">
      <c r="B18" s="127"/>
      <c r="C18" s="127"/>
      <c r="D18" s="127"/>
      <c r="E18" s="127"/>
      <c r="F18" s="127"/>
      <c r="G18" s="127"/>
      <c r="H18" s="127"/>
      <c r="I18" s="127"/>
      <c r="J18" s="127"/>
      <c r="K18" s="127"/>
      <c r="L18" s="127"/>
      <c r="M18" s="127"/>
    </row>
    <row r="19" spans="2:13" ht="15.75" x14ac:dyDescent="0.25">
      <c r="B19" s="127"/>
      <c r="C19" s="127"/>
      <c r="D19" s="127"/>
      <c r="E19" s="127"/>
      <c r="F19" s="127"/>
      <c r="G19" s="127"/>
      <c r="H19" s="127"/>
      <c r="I19" s="127"/>
      <c r="J19" s="127"/>
      <c r="K19" s="127"/>
      <c r="L19" s="127"/>
      <c r="M19" s="127"/>
    </row>
    <row r="20" spans="2:13" ht="15.75" x14ac:dyDescent="0.25">
      <c r="B20" s="127"/>
      <c r="C20" s="127"/>
      <c r="D20" s="127"/>
      <c r="E20" s="127"/>
      <c r="F20" s="127"/>
      <c r="G20" s="127"/>
      <c r="H20" s="127"/>
      <c r="I20" s="127"/>
      <c r="J20" s="127"/>
      <c r="K20" s="127"/>
      <c r="L20" s="127"/>
      <c r="M20" s="127"/>
    </row>
    <row r="21" spans="2:13" ht="15.75" x14ac:dyDescent="0.25">
      <c r="B21" s="127"/>
      <c r="C21" s="127"/>
      <c r="D21" s="127"/>
      <c r="E21" s="127"/>
      <c r="F21" s="127"/>
      <c r="G21" s="127"/>
      <c r="H21" s="127"/>
      <c r="I21" s="127"/>
      <c r="J21" s="127"/>
      <c r="K21" s="127"/>
      <c r="L21" s="127"/>
      <c r="M21" s="127"/>
    </row>
    <row r="22" spans="2:13" ht="15.75" x14ac:dyDescent="0.25">
      <c r="B22" s="127"/>
      <c r="C22" s="127"/>
      <c r="D22" s="127"/>
      <c r="E22" s="127"/>
      <c r="F22" s="127"/>
      <c r="G22" s="127"/>
      <c r="H22" s="127"/>
      <c r="I22" s="127"/>
      <c r="J22" s="127"/>
      <c r="K22" s="127"/>
      <c r="L22" s="127"/>
      <c r="M22" s="127"/>
    </row>
    <row r="23" spans="2:13" ht="15.75" x14ac:dyDescent="0.25">
      <c r="B23" s="127"/>
      <c r="C23" s="127"/>
      <c r="D23" s="127"/>
      <c r="E23" s="127"/>
      <c r="F23" s="127"/>
      <c r="G23" s="127"/>
      <c r="H23" s="127"/>
      <c r="I23" s="127"/>
      <c r="J23" s="127"/>
      <c r="K23" s="127"/>
      <c r="L23" s="127"/>
      <c r="M23" s="127"/>
    </row>
    <row r="24" spans="2:13" ht="15.75" x14ac:dyDescent="0.25">
      <c r="B24" s="127"/>
      <c r="C24" s="127"/>
      <c r="D24" s="127"/>
      <c r="E24" s="127"/>
      <c r="F24" s="127"/>
      <c r="G24" s="127"/>
      <c r="H24" s="127"/>
      <c r="I24" s="127"/>
      <c r="J24" s="127"/>
      <c r="K24" s="127"/>
      <c r="L24" s="127"/>
      <c r="M24" s="127"/>
    </row>
    <row r="25" spans="2:13" ht="15.75" x14ac:dyDescent="0.25">
      <c r="B25" s="127"/>
      <c r="C25" s="127"/>
      <c r="D25" s="127"/>
      <c r="E25" s="127"/>
      <c r="F25" s="127"/>
      <c r="G25" s="127"/>
      <c r="H25" s="127"/>
      <c r="I25" s="127"/>
      <c r="J25" s="127"/>
      <c r="K25" s="127"/>
      <c r="L25" s="127"/>
      <c r="M25" s="127"/>
    </row>
    <row r="26" spans="2:13" ht="15.75" x14ac:dyDescent="0.25">
      <c r="B26" s="127"/>
      <c r="C26" s="127"/>
      <c r="D26" s="127"/>
      <c r="E26" s="127"/>
      <c r="F26" s="127"/>
      <c r="G26" s="127"/>
      <c r="H26" s="127"/>
      <c r="I26" s="127"/>
      <c r="J26" s="127"/>
      <c r="K26" s="127"/>
      <c r="L26" s="127"/>
      <c r="M26" s="127"/>
    </row>
    <row r="27" spans="2:13" ht="15.75" x14ac:dyDescent="0.25">
      <c r="B27" s="127"/>
      <c r="C27" s="127"/>
      <c r="D27" s="127"/>
      <c r="E27" s="127"/>
      <c r="F27" s="127"/>
      <c r="G27" s="127"/>
      <c r="H27" s="127"/>
      <c r="I27" s="127"/>
      <c r="J27" s="127"/>
      <c r="K27" s="127"/>
      <c r="L27" s="127"/>
      <c r="M27" s="127"/>
    </row>
    <row r="28" spans="2:13" ht="15.75" x14ac:dyDescent="0.25">
      <c r="B28" s="127"/>
      <c r="C28" s="127"/>
      <c r="D28" s="127"/>
      <c r="E28" s="127"/>
      <c r="F28" s="127"/>
      <c r="G28" s="127"/>
      <c r="H28" s="127"/>
      <c r="I28" s="127"/>
      <c r="J28" s="127"/>
      <c r="K28" s="127"/>
      <c r="L28" s="127"/>
      <c r="M28" s="127"/>
    </row>
    <row r="29" spans="2:13" ht="15.75" x14ac:dyDescent="0.25">
      <c r="B29" s="127"/>
      <c r="C29" s="127"/>
      <c r="D29" s="127"/>
      <c r="E29" s="127"/>
      <c r="F29" s="127"/>
      <c r="G29" s="127"/>
      <c r="H29" s="127"/>
      <c r="I29" s="127"/>
      <c r="J29" s="127"/>
      <c r="K29" s="127"/>
      <c r="L29" s="127"/>
      <c r="M29" s="127"/>
    </row>
    <row r="30" spans="2:13" ht="15.75" x14ac:dyDescent="0.25">
      <c r="B30" s="127"/>
      <c r="C30" s="127"/>
      <c r="D30" s="127"/>
      <c r="E30" s="127"/>
      <c r="F30" s="127"/>
      <c r="G30" s="127"/>
      <c r="H30" s="127"/>
      <c r="I30" s="127"/>
      <c r="J30" s="127"/>
      <c r="K30" s="127"/>
      <c r="L30" s="127"/>
      <c r="M30" s="127"/>
    </row>
    <row r="31" spans="2:13" ht="15.75" x14ac:dyDescent="0.25">
      <c r="B31" s="127"/>
      <c r="C31" s="127"/>
      <c r="D31" s="127"/>
      <c r="E31" s="127"/>
      <c r="F31" s="127"/>
      <c r="G31" s="127"/>
      <c r="H31" s="127"/>
      <c r="I31" s="127"/>
      <c r="J31" s="127"/>
      <c r="K31" s="127"/>
      <c r="L31" s="127"/>
      <c r="M31" s="127"/>
    </row>
    <row r="32" spans="2:13" ht="15.75" x14ac:dyDescent="0.25">
      <c r="B32" s="127"/>
      <c r="C32" s="127"/>
      <c r="D32" s="127"/>
      <c r="E32" s="127"/>
      <c r="F32" s="127"/>
      <c r="G32" s="127"/>
      <c r="H32" s="127"/>
      <c r="I32" s="127"/>
      <c r="J32" s="127"/>
      <c r="K32" s="127"/>
      <c r="L32" s="127"/>
      <c r="M32" s="127"/>
    </row>
    <row r="33" spans="2:14" ht="15.75" x14ac:dyDescent="0.25">
      <c r="B33" s="127"/>
      <c r="C33" s="127"/>
      <c r="D33" s="127"/>
      <c r="E33" s="127"/>
      <c r="F33" s="127"/>
      <c r="G33" s="127"/>
      <c r="H33" s="127"/>
      <c r="I33" s="127"/>
      <c r="J33" s="127"/>
      <c r="K33" s="127"/>
      <c r="L33" s="127"/>
      <c r="M33" s="127"/>
    </row>
    <row r="34" spans="2:14" ht="15.75" x14ac:dyDescent="0.25">
      <c r="B34" s="127"/>
      <c r="C34" s="127"/>
      <c r="D34" s="127"/>
      <c r="E34" s="127"/>
      <c r="F34" s="127"/>
      <c r="G34" s="127"/>
      <c r="H34" s="127"/>
      <c r="I34" s="127"/>
      <c r="J34" s="127"/>
      <c r="K34" s="127"/>
      <c r="L34" s="127"/>
      <c r="M34" s="127"/>
    </row>
    <row r="35" spans="2:14" ht="15.75" x14ac:dyDescent="0.25">
      <c r="B35" s="127"/>
      <c r="C35" s="127"/>
      <c r="D35" s="127"/>
      <c r="E35" s="127"/>
      <c r="F35" s="127"/>
      <c r="G35" s="127"/>
      <c r="H35" s="127"/>
      <c r="I35" s="127"/>
      <c r="J35" s="127"/>
      <c r="K35" s="127"/>
      <c r="L35" s="127"/>
      <c r="M35" s="127"/>
    </row>
    <row r="36" spans="2:14" ht="15.75" x14ac:dyDescent="0.25">
      <c r="B36" s="127"/>
      <c r="C36" s="127"/>
      <c r="D36" s="127"/>
      <c r="E36" s="127"/>
      <c r="F36" s="127"/>
      <c r="G36" s="127"/>
      <c r="H36" s="127"/>
      <c r="I36" s="127"/>
      <c r="J36" s="127"/>
      <c r="K36" s="127"/>
      <c r="L36" s="127"/>
      <c r="M36" s="127"/>
    </row>
    <row r="37" spans="2:14" ht="15.75" x14ac:dyDescent="0.25">
      <c r="B37" s="134" t="s">
        <v>145</v>
      </c>
      <c r="C37" s="135"/>
      <c r="D37" s="135"/>
      <c r="E37" s="135"/>
      <c r="F37" s="135"/>
      <c r="G37" s="135"/>
      <c r="H37" s="135"/>
      <c r="I37" s="135"/>
      <c r="J37" s="135"/>
      <c r="K37" s="135"/>
      <c r="L37" s="135"/>
      <c r="M37" s="127"/>
    </row>
    <row r="38" spans="2:14" x14ac:dyDescent="0.25">
      <c r="C38" s="273" t="s">
        <v>151</v>
      </c>
      <c r="D38" s="273"/>
      <c r="E38" s="273"/>
      <c r="F38" s="273"/>
      <c r="G38" s="273"/>
      <c r="H38" s="273"/>
      <c r="I38" s="273"/>
      <c r="J38" s="273"/>
      <c r="K38" s="273"/>
      <c r="L38" s="273"/>
      <c r="M38" s="273"/>
      <c r="N38" s="273"/>
    </row>
    <row r="39" spans="2:14" x14ac:dyDescent="0.25">
      <c r="C39" s="273"/>
      <c r="D39" s="273"/>
      <c r="E39" s="273"/>
      <c r="F39" s="273"/>
      <c r="G39" s="273"/>
      <c r="H39" s="273"/>
      <c r="I39" s="273"/>
      <c r="J39" s="273"/>
      <c r="K39" s="273"/>
      <c r="L39" s="273"/>
      <c r="M39" s="273"/>
      <c r="N39" s="273"/>
    </row>
    <row r="40" spans="2:14" ht="15.75" x14ac:dyDescent="0.25">
      <c r="B40" s="136"/>
      <c r="C40" s="273"/>
      <c r="D40" s="273"/>
      <c r="E40" s="273"/>
      <c r="F40" s="273"/>
      <c r="G40" s="273"/>
      <c r="H40" s="273"/>
      <c r="I40" s="273"/>
      <c r="J40" s="273"/>
      <c r="K40" s="273"/>
      <c r="L40" s="273"/>
      <c r="M40" s="273"/>
      <c r="N40" s="273"/>
    </row>
    <row r="41" spans="2:14" ht="15.75" x14ac:dyDescent="0.25">
      <c r="B41" s="137"/>
      <c r="C41" s="137"/>
      <c r="D41" s="137"/>
      <c r="E41" s="137"/>
      <c r="F41" s="137"/>
      <c r="G41" s="137"/>
      <c r="H41" s="137"/>
      <c r="I41" s="137"/>
      <c r="J41" s="137"/>
      <c r="K41" s="137"/>
      <c r="L41" s="137"/>
      <c r="M41" s="127"/>
    </row>
    <row r="43" spans="2:14" ht="15.75" x14ac:dyDescent="0.25">
      <c r="B43" s="134" t="s">
        <v>146</v>
      </c>
      <c r="C43" s="135"/>
      <c r="D43" s="133"/>
      <c r="E43" s="133"/>
      <c r="F43" s="133"/>
      <c r="G43" s="133"/>
      <c r="H43" s="133"/>
      <c r="I43" s="133"/>
      <c r="J43" s="133"/>
      <c r="K43" s="133"/>
      <c r="L43" s="133"/>
      <c r="M43" s="127"/>
    </row>
    <row r="44" spans="2:14" ht="15.75" x14ac:dyDescent="0.25">
      <c r="B44" s="270" t="s">
        <v>147</v>
      </c>
      <c r="C44" s="270"/>
      <c r="D44" s="270"/>
      <c r="E44" s="270"/>
      <c r="F44" s="270"/>
      <c r="G44" s="270"/>
      <c r="H44" s="270"/>
      <c r="I44" s="270"/>
      <c r="J44" s="270"/>
      <c r="K44" s="270"/>
      <c r="L44" s="270"/>
      <c r="M44" s="127"/>
    </row>
    <row r="45" spans="2:14" ht="15.75" x14ac:dyDescent="0.25">
      <c r="B45" s="270"/>
      <c r="C45" s="270"/>
      <c r="D45" s="270"/>
      <c r="E45" s="270"/>
      <c r="F45" s="270"/>
      <c r="G45" s="270"/>
      <c r="H45" s="270"/>
      <c r="I45" s="270"/>
      <c r="J45" s="270"/>
      <c r="K45" s="270"/>
      <c r="L45" s="270"/>
      <c r="M45" s="127"/>
    </row>
    <row r="46" spans="2:14" ht="15.75" x14ac:dyDescent="0.25">
      <c r="B46" s="251" t="s">
        <v>253</v>
      </c>
      <c r="C46" s="135"/>
      <c r="D46" s="135"/>
      <c r="E46" s="135"/>
      <c r="F46" s="139"/>
      <c r="G46" s="135"/>
      <c r="H46" s="135"/>
      <c r="I46" s="135"/>
      <c r="J46" s="135"/>
      <c r="K46" s="135"/>
      <c r="L46" s="127"/>
      <c r="M46" s="127"/>
    </row>
    <row r="47" spans="2:14" ht="15.75" x14ac:dyDescent="0.25">
      <c r="B47" s="251" t="s">
        <v>250</v>
      </c>
      <c r="C47" s="135"/>
      <c r="D47" s="135"/>
      <c r="E47" s="135"/>
      <c r="F47" s="139"/>
      <c r="G47" s="135"/>
      <c r="H47" s="135"/>
      <c r="I47" s="135"/>
      <c r="J47" s="135"/>
      <c r="K47" s="135"/>
      <c r="L47" s="127"/>
      <c r="M47" s="127"/>
    </row>
    <row r="48" spans="2:14" ht="15.75" x14ac:dyDescent="0.25">
      <c r="B48" s="251" t="s">
        <v>251</v>
      </c>
      <c r="C48" s="135"/>
      <c r="D48" s="135"/>
      <c r="E48" s="135"/>
      <c r="F48" s="135"/>
      <c r="G48" s="135"/>
      <c r="H48" s="135"/>
      <c r="I48" s="135"/>
      <c r="J48" s="135"/>
      <c r="K48" s="135"/>
      <c r="L48" s="127"/>
      <c r="M48" s="127"/>
    </row>
    <row r="49" spans="2:13" ht="15.75" x14ac:dyDescent="0.25">
      <c r="B49" s="252" t="s">
        <v>252</v>
      </c>
      <c r="C49" s="135"/>
      <c r="D49" s="135"/>
      <c r="E49" s="135"/>
      <c r="F49" s="135"/>
      <c r="G49" s="135"/>
      <c r="H49" s="135"/>
      <c r="I49" s="135"/>
      <c r="J49" s="135"/>
      <c r="K49" s="135"/>
      <c r="L49" s="127"/>
      <c r="M49" s="127"/>
    </row>
    <row r="50" spans="2:13" ht="15.75" x14ac:dyDescent="0.25">
      <c r="B50" s="271"/>
      <c r="C50" s="272"/>
      <c r="D50" s="272"/>
      <c r="E50" s="135"/>
      <c r="F50" s="135"/>
      <c r="G50" s="271"/>
      <c r="H50" s="272"/>
      <c r="I50" s="272"/>
      <c r="J50" s="135"/>
      <c r="K50" s="135"/>
      <c r="L50" s="127"/>
      <c r="M50" s="127"/>
    </row>
    <row r="51" spans="2:13" ht="15.75" x14ac:dyDescent="0.25">
      <c r="B51" s="140"/>
      <c r="C51" s="135"/>
      <c r="D51" s="135"/>
      <c r="E51" s="135"/>
      <c r="F51" s="135"/>
      <c r="G51" s="140"/>
      <c r="H51" s="135"/>
      <c r="I51" s="135"/>
      <c r="J51" s="135"/>
      <c r="K51" s="135"/>
      <c r="L51" s="127"/>
      <c r="M51" s="127"/>
    </row>
    <row r="52" spans="2:13" ht="15.75" x14ac:dyDescent="0.25">
      <c r="B52" s="134" t="s">
        <v>148</v>
      </c>
      <c r="C52" s="133"/>
      <c r="D52" s="135"/>
      <c r="E52" s="135"/>
      <c r="F52" s="135"/>
      <c r="G52" s="135"/>
      <c r="H52" s="135"/>
      <c r="I52" s="135"/>
      <c r="J52" s="135"/>
      <c r="K52" s="135"/>
      <c r="L52" s="135"/>
      <c r="M52" s="127"/>
    </row>
    <row r="53" spans="2:13" ht="15.6" customHeight="1" x14ac:dyDescent="0.25">
      <c r="B53" s="273" t="s">
        <v>257</v>
      </c>
      <c r="C53" s="273"/>
      <c r="D53" s="273"/>
      <c r="E53" s="273"/>
      <c r="F53" s="273"/>
      <c r="G53" s="273"/>
      <c r="H53" s="273"/>
      <c r="I53" s="136"/>
      <c r="J53" s="136"/>
      <c r="K53" s="136"/>
      <c r="L53" s="136"/>
      <c r="M53" s="136"/>
    </row>
    <row r="54" spans="2:13" ht="15" customHeight="1" x14ac:dyDescent="0.25">
      <c r="B54" s="273"/>
      <c r="C54" s="273"/>
      <c r="D54" s="273"/>
      <c r="E54" s="273"/>
      <c r="F54" s="273"/>
      <c r="G54" s="273"/>
      <c r="H54" s="273"/>
      <c r="I54" s="136"/>
      <c r="J54" s="136"/>
      <c r="K54" s="136"/>
      <c r="L54" s="136"/>
      <c r="M54" s="136"/>
    </row>
    <row r="55" spans="2:13" ht="15" customHeight="1" x14ac:dyDescent="0.25">
      <c r="B55" s="273"/>
      <c r="C55" s="273"/>
      <c r="D55" s="273"/>
      <c r="E55" s="273"/>
      <c r="F55" s="273"/>
      <c r="G55" s="273"/>
      <c r="H55" s="273"/>
    </row>
    <row r="56" spans="2:13" ht="15" customHeight="1" x14ac:dyDescent="0.25">
      <c r="B56" s="273"/>
      <c r="C56" s="273"/>
      <c r="D56" s="273"/>
      <c r="E56" s="273"/>
      <c r="F56" s="273"/>
      <c r="G56" s="273"/>
      <c r="H56" s="273"/>
    </row>
  </sheetData>
  <sheetProtection sheet="1" objects="1" scenarios="1"/>
  <mergeCells count="8">
    <mergeCell ref="B44:L45"/>
    <mergeCell ref="B50:D50"/>
    <mergeCell ref="G50:I50"/>
    <mergeCell ref="B53:H56"/>
    <mergeCell ref="B5:I6"/>
    <mergeCell ref="C8:D8"/>
    <mergeCell ref="E8:F8"/>
    <mergeCell ref="C38:N4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9215D-3B76-4E79-935C-18AE5297D6F6}">
  <dimension ref="A3"/>
  <sheetViews>
    <sheetView showGridLines="0" workbookViewId="0"/>
  </sheetViews>
  <sheetFormatPr defaultColWidth="8.7109375" defaultRowHeight="15.75" x14ac:dyDescent="0.25"/>
  <cols>
    <col min="1" max="16384" width="8.7109375" style="1"/>
  </cols>
  <sheetData>
    <row r="3" spans="1:1" x14ac:dyDescent="0.25">
      <c r="A3" s="10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F61C5-D75B-424D-B4D8-309761F9B7BC}">
  <sheetPr codeName="Sheet1"/>
  <dimension ref="A1:N85"/>
  <sheetViews>
    <sheetView showGridLines="0" zoomScale="120" zoomScaleNormal="120" workbookViewId="0">
      <selection activeCell="B1" sqref="B1"/>
    </sheetView>
  </sheetViews>
  <sheetFormatPr defaultColWidth="7.28515625" defaultRowHeight="15" x14ac:dyDescent="0.25"/>
  <cols>
    <col min="1" max="2" width="1.42578125" style="75" customWidth="1"/>
    <col min="3" max="7" width="10.140625" style="75" customWidth="1"/>
    <col min="8" max="8" width="14.42578125" style="75" customWidth="1"/>
    <col min="9" max="13" width="10.140625" style="75" customWidth="1"/>
    <col min="14" max="14" width="12.42578125" style="75" customWidth="1"/>
    <col min="15" max="16384" width="7.28515625" style="75"/>
  </cols>
  <sheetData>
    <row r="1" spans="1:14" ht="9.9499999999999993" customHeight="1" thickBot="1" x14ac:dyDescent="0.3">
      <c r="A1" s="1"/>
      <c r="B1" s="1"/>
    </row>
    <row r="2" spans="1:14" ht="15.75" x14ac:dyDescent="0.25">
      <c r="B2" s="116"/>
      <c r="C2" s="117"/>
      <c r="D2" s="117"/>
      <c r="E2" s="117"/>
      <c r="F2" s="117"/>
      <c r="G2" s="117"/>
      <c r="H2" s="117"/>
      <c r="I2" s="117"/>
      <c r="J2" s="117"/>
      <c r="K2" s="117"/>
      <c r="L2" s="118"/>
      <c r="M2"/>
    </row>
    <row r="3" spans="1:14" ht="26.25" x14ac:dyDescent="0.4">
      <c r="B3" s="119" t="s">
        <v>149</v>
      </c>
      <c r="C3" s="120"/>
      <c r="D3" s="120"/>
      <c r="E3" s="120"/>
      <c r="F3" s="120"/>
      <c r="G3" s="120"/>
      <c r="H3" s="121"/>
      <c r="I3" s="121"/>
      <c r="J3" s="121"/>
      <c r="K3" s="121"/>
      <c r="L3" s="122"/>
      <c r="M3"/>
    </row>
    <row r="4" spans="1:14" ht="17.25" x14ac:dyDescent="0.3">
      <c r="B4" s="123"/>
      <c r="C4" s="124"/>
      <c r="D4" s="125"/>
      <c r="E4" s="125"/>
      <c r="F4" s="126"/>
      <c r="G4" s="126"/>
      <c r="H4" s="121"/>
      <c r="I4" s="121"/>
      <c r="J4" s="121"/>
      <c r="K4" s="121"/>
      <c r="L4" s="122"/>
      <c r="M4"/>
    </row>
    <row r="5" spans="1:14" ht="15.75" customHeight="1" x14ac:dyDescent="0.25">
      <c r="B5" s="274" t="s">
        <v>150</v>
      </c>
      <c r="C5" s="275"/>
      <c r="D5" s="275"/>
      <c r="E5" s="275"/>
      <c r="F5" s="275"/>
      <c r="G5" s="275"/>
      <c r="H5" s="275"/>
      <c r="I5" s="275"/>
      <c r="J5" s="121"/>
      <c r="K5" s="121"/>
      <c r="L5" s="122"/>
      <c r="M5" s="127"/>
    </row>
    <row r="6" spans="1:14" ht="15.75" x14ac:dyDescent="0.25">
      <c r="B6" s="274"/>
      <c r="C6" s="275"/>
      <c r="D6" s="275"/>
      <c r="E6" s="275"/>
      <c r="F6" s="275"/>
      <c r="G6" s="275"/>
      <c r="H6" s="275"/>
      <c r="I6" s="275"/>
      <c r="J6" s="121"/>
      <c r="K6" s="121"/>
      <c r="L6" s="122"/>
      <c r="M6" s="127"/>
    </row>
    <row r="7" spans="1:14" ht="15.75" x14ac:dyDescent="0.25">
      <c r="B7" s="128"/>
      <c r="C7" s="129"/>
      <c r="D7" s="129"/>
      <c r="E7" s="129"/>
      <c r="F7" s="129"/>
      <c r="G7" s="129"/>
      <c r="H7" s="129"/>
      <c r="I7" s="121"/>
      <c r="J7" s="121"/>
      <c r="K7" s="121"/>
      <c r="L7" s="122"/>
      <c r="M7" s="127"/>
    </row>
    <row r="8" spans="1:14" ht="16.5" thickBot="1" x14ac:dyDescent="0.3">
      <c r="B8" s="130"/>
      <c r="C8" s="276"/>
      <c r="D8" s="276"/>
      <c r="E8" s="277"/>
      <c r="F8" s="277"/>
      <c r="G8" s="131"/>
      <c r="H8" s="131"/>
      <c r="I8" s="131"/>
      <c r="J8" s="131"/>
      <c r="K8" s="131"/>
      <c r="L8" s="132" t="s">
        <v>259</v>
      </c>
      <c r="M8" s="127"/>
    </row>
    <row r="9" spans="1:14" ht="15.75" x14ac:dyDescent="0.25">
      <c r="B9" s="254"/>
      <c r="C9" s="255"/>
      <c r="D9" s="255"/>
      <c r="E9" s="256"/>
      <c r="F9" s="256"/>
      <c r="G9" s="254"/>
      <c r="H9" s="254"/>
      <c r="I9" s="254"/>
      <c r="J9" s="254"/>
      <c r="K9" s="254"/>
      <c r="L9" s="255"/>
      <c r="M9" s="127"/>
    </row>
    <row r="10" spans="1:14" ht="18.75" x14ac:dyDescent="0.25">
      <c r="B10" s="137"/>
      <c r="C10" s="253" t="s">
        <v>75</v>
      </c>
      <c r="D10" s="253"/>
      <c r="E10" s="253"/>
      <c r="F10" s="253"/>
      <c r="G10" s="253"/>
      <c r="H10" s="253"/>
      <c r="I10" s="253"/>
      <c r="J10" s="253"/>
      <c r="K10" s="253"/>
      <c r="L10" s="253"/>
      <c r="M10" s="253"/>
      <c r="N10" s="253"/>
    </row>
    <row r="11" spans="1:14" ht="15.75" x14ac:dyDescent="0.25">
      <c r="B11" s="127"/>
      <c r="C11" s="287" t="s">
        <v>227</v>
      </c>
      <c r="D11" s="288"/>
      <c r="E11" s="288"/>
      <c r="F11" s="288"/>
      <c r="G11" s="288"/>
      <c r="H11" s="288"/>
      <c r="I11" s="288"/>
      <c r="J11" s="288"/>
      <c r="K11" s="288"/>
      <c r="L11" s="288"/>
      <c r="M11" s="288"/>
      <c r="N11" s="289"/>
    </row>
    <row r="12" spans="1:14" ht="15.75" x14ac:dyDescent="0.25">
      <c r="B12" s="138"/>
      <c r="C12" s="290"/>
      <c r="D12" s="291"/>
      <c r="E12" s="291"/>
      <c r="F12" s="291"/>
      <c r="G12" s="291"/>
      <c r="H12" s="291"/>
      <c r="I12" s="291"/>
      <c r="J12" s="291"/>
      <c r="K12" s="291"/>
      <c r="L12" s="291"/>
      <c r="M12" s="291"/>
      <c r="N12" s="292"/>
    </row>
    <row r="13" spans="1:14" ht="15.75" x14ac:dyDescent="0.25">
      <c r="B13" s="137"/>
      <c r="C13" s="287" t="s">
        <v>76</v>
      </c>
      <c r="D13" s="288"/>
      <c r="E13" s="288"/>
      <c r="F13" s="288"/>
      <c r="G13" s="288"/>
      <c r="H13" s="288"/>
      <c r="I13" s="288"/>
      <c r="J13" s="288"/>
      <c r="K13" s="288"/>
      <c r="L13" s="288"/>
      <c r="M13" s="288"/>
      <c r="N13" s="289"/>
    </row>
    <row r="14" spans="1:14" x14ac:dyDescent="0.25">
      <c r="C14" s="290"/>
      <c r="D14" s="291"/>
      <c r="E14" s="291"/>
      <c r="F14" s="291"/>
      <c r="G14" s="291"/>
      <c r="H14" s="291"/>
      <c r="I14" s="291"/>
      <c r="J14" s="291"/>
      <c r="K14" s="291"/>
      <c r="L14" s="291"/>
      <c r="M14" s="291"/>
      <c r="N14" s="292"/>
    </row>
    <row r="15" spans="1:14" x14ac:dyDescent="0.25">
      <c r="C15" s="287" t="s">
        <v>228</v>
      </c>
      <c r="D15" s="288"/>
      <c r="E15" s="288"/>
      <c r="F15" s="288"/>
      <c r="G15" s="288"/>
      <c r="H15" s="288"/>
      <c r="I15" s="288"/>
      <c r="J15" s="288"/>
      <c r="K15" s="288"/>
      <c r="L15" s="288"/>
      <c r="M15" s="288"/>
      <c r="N15" s="289"/>
    </row>
    <row r="16" spans="1:14" x14ac:dyDescent="0.25">
      <c r="C16" s="284"/>
      <c r="D16" s="285"/>
      <c r="E16" s="285"/>
      <c r="F16" s="285"/>
      <c r="G16" s="285"/>
      <c r="H16" s="285"/>
      <c r="I16" s="285"/>
      <c r="J16" s="285"/>
      <c r="K16" s="285"/>
      <c r="L16" s="285"/>
      <c r="M16" s="285"/>
      <c r="N16" s="286"/>
    </row>
    <row r="17" spans="3:14" x14ac:dyDescent="0.25">
      <c r="C17" s="278" t="s">
        <v>254</v>
      </c>
      <c r="D17" s="279"/>
      <c r="E17" s="279"/>
      <c r="F17" s="279"/>
      <c r="G17" s="279"/>
      <c r="H17" s="279"/>
      <c r="I17" s="279"/>
      <c r="J17" s="279"/>
      <c r="K17" s="279"/>
      <c r="L17" s="279"/>
      <c r="M17" s="279"/>
      <c r="N17" s="280"/>
    </row>
    <row r="18" spans="3:14" ht="15.75" thickBot="1" x14ac:dyDescent="0.3">
      <c r="C18" s="281"/>
      <c r="D18" s="282"/>
      <c r="E18" s="282"/>
      <c r="F18" s="282"/>
      <c r="G18" s="282"/>
      <c r="H18" s="282"/>
      <c r="I18" s="282"/>
      <c r="J18" s="282"/>
      <c r="K18" s="282"/>
      <c r="L18" s="282"/>
      <c r="M18" s="282"/>
      <c r="N18" s="283"/>
    </row>
    <row r="19" spans="3:14" s="258" customFormat="1" x14ac:dyDescent="0.25">
      <c r="C19" s="257"/>
      <c r="D19" s="257"/>
      <c r="E19" s="257"/>
      <c r="F19" s="257"/>
      <c r="G19" s="257"/>
      <c r="H19" s="257"/>
      <c r="I19" s="257"/>
      <c r="J19" s="257"/>
      <c r="K19" s="257"/>
      <c r="L19" s="257"/>
      <c r="M19" s="257"/>
      <c r="N19" s="257"/>
    </row>
    <row r="20" spans="3:14" s="258" customFormat="1" x14ac:dyDescent="0.25">
      <c r="C20" s="257"/>
      <c r="D20" s="257"/>
      <c r="E20" s="257"/>
      <c r="F20" s="257"/>
      <c r="G20" s="257"/>
      <c r="H20" s="257"/>
      <c r="I20" s="257"/>
      <c r="J20" s="257"/>
      <c r="K20" s="257"/>
      <c r="L20" s="257"/>
      <c r="M20" s="257"/>
      <c r="N20" s="257"/>
    </row>
    <row r="21" spans="3:14" s="258" customFormat="1" x14ac:dyDescent="0.25">
      <c r="C21" s="257"/>
      <c r="D21" s="257"/>
      <c r="E21" s="257"/>
      <c r="F21" s="257"/>
      <c r="G21" s="257"/>
      <c r="H21" s="257"/>
      <c r="I21" s="257"/>
      <c r="J21" s="257"/>
      <c r="K21" s="257"/>
      <c r="L21" s="257"/>
      <c r="M21" s="257"/>
      <c r="N21" s="257"/>
    </row>
    <row r="22" spans="3:14" s="258" customFormat="1" x14ac:dyDescent="0.25">
      <c r="C22" s="257"/>
      <c r="D22" s="257"/>
      <c r="E22" s="257"/>
      <c r="F22" s="257"/>
      <c r="G22" s="257"/>
      <c r="H22" s="257"/>
      <c r="I22" s="257"/>
      <c r="J22" s="257"/>
      <c r="K22" s="257"/>
      <c r="L22" s="257"/>
      <c r="M22" s="257"/>
      <c r="N22" s="257"/>
    </row>
    <row r="23" spans="3:14" s="258" customFormat="1" x14ac:dyDescent="0.25">
      <c r="C23" s="257"/>
      <c r="D23" s="257"/>
      <c r="E23" s="257"/>
      <c r="F23" s="257"/>
      <c r="G23" s="257"/>
      <c r="H23" s="257"/>
      <c r="I23" s="257"/>
      <c r="J23" s="257"/>
      <c r="K23" s="257"/>
      <c r="L23" s="257"/>
      <c r="M23" s="257"/>
      <c r="N23" s="257"/>
    </row>
    <row r="24" spans="3:14" s="258" customFormat="1" x14ac:dyDescent="0.25">
      <c r="C24" s="257"/>
      <c r="D24" s="257"/>
      <c r="E24" s="257"/>
      <c r="F24" s="257"/>
      <c r="G24" s="257"/>
      <c r="H24" s="257"/>
      <c r="I24" s="257"/>
      <c r="J24" s="257"/>
      <c r="K24" s="257"/>
      <c r="L24" s="257"/>
      <c r="M24" s="257"/>
      <c r="N24" s="257"/>
    </row>
    <row r="25" spans="3:14" s="258" customFormat="1" x14ac:dyDescent="0.25">
      <c r="C25" s="257"/>
      <c r="D25" s="257"/>
      <c r="E25" s="257"/>
      <c r="F25" s="257"/>
      <c r="G25" s="257"/>
      <c r="H25" s="257"/>
      <c r="I25" s="257"/>
      <c r="J25" s="257"/>
      <c r="K25" s="257"/>
      <c r="L25" s="257"/>
      <c r="M25" s="257"/>
      <c r="N25" s="257"/>
    </row>
    <row r="26" spans="3:14" s="258" customFormat="1" x14ac:dyDescent="0.25">
      <c r="C26" s="257"/>
      <c r="D26" s="257"/>
      <c r="E26" s="257"/>
      <c r="F26" s="257"/>
      <c r="G26" s="257"/>
      <c r="H26" s="257"/>
      <c r="I26" s="257"/>
      <c r="J26" s="257"/>
      <c r="K26" s="257"/>
      <c r="L26" s="257"/>
      <c r="M26" s="257"/>
      <c r="N26" s="257"/>
    </row>
    <row r="27" spans="3:14" s="258" customFormat="1" x14ac:dyDescent="0.25">
      <c r="C27" s="257"/>
      <c r="D27" s="257"/>
      <c r="E27" s="257"/>
      <c r="F27" s="257"/>
      <c r="G27" s="257"/>
      <c r="H27" s="257"/>
      <c r="I27" s="257"/>
      <c r="J27" s="257"/>
      <c r="K27" s="257"/>
      <c r="L27" s="257"/>
      <c r="M27" s="257"/>
      <c r="N27" s="257"/>
    </row>
    <row r="28" spans="3:14" s="258" customFormat="1" x14ac:dyDescent="0.25">
      <c r="C28" s="257"/>
      <c r="D28" s="257"/>
      <c r="E28" s="257"/>
      <c r="F28" s="257"/>
      <c r="G28" s="257"/>
      <c r="H28" s="257"/>
      <c r="I28" s="257"/>
      <c r="J28" s="257"/>
      <c r="K28" s="257"/>
      <c r="L28" s="257"/>
      <c r="M28" s="257"/>
      <c r="N28" s="257"/>
    </row>
    <row r="29" spans="3:14" s="258" customFormat="1" x14ac:dyDescent="0.25">
      <c r="C29" s="257"/>
      <c r="D29" s="257"/>
      <c r="E29" s="257"/>
      <c r="F29" s="257"/>
      <c r="G29" s="257"/>
      <c r="H29" s="257"/>
      <c r="I29" s="257"/>
      <c r="J29" s="257"/>
      <c r="K29" s="257"/>
      <c r="L29" s="257"/>
      <c r="M29" s="257"/>
      <c r="N29" s="257"/>
    </row>
    <row r="30" spans="3:14" s="258" customFormat="1" x14ac:dyDescent="0.25">
      <c r="C30" s="257"/>
      <c r="D30" s="257"/>
      <c r="E30" s="257"/>
      <c r="F30" s="257"/>
      <c r="G30" s="257"/>
      <c r="H30" s="257"/>
      <c r="I30" s="257"/>
      <c r="J30" s="257"/>
      <c r="K30" s="257"/>
      <c r="L30" s="257"/>
      <c r="M30" s="257"/>
      <c r="N30" s="257"/>
    </row>
    <row r="31" spans="3:14" s="258" customFormat="1" x14ac:dyDescent="0.25">
      <c r="C31" s="257"/>
      <c r="D31" s="257"/>
      <c r="E31" s="257"/>
      <c r="F31" s="257"/>
      <c r="G31" s="257"/>
      <c r="H31" s="257"/>
      <c r="I31" s="257"/>
      <c r="J31" s="257"/>
      <c r="K31" s="257"/>
      <c r="L31" s="257"/>
      <c r="M31" s="257"/>
      <c r="N31" s="257"/>
    </row>
    <row r="32" spans="3:14" s="258" customFormat="1" x14ac:dyDescent="0.25">
      <c r="C32" s="257"/>
      <c r="D32" s="257"/>
      <c r="E32" s="257"/>
      <c r="F32" s="257"/>
      <c r="G32" s="257"/>
      <c r="H32" s="257"/>
      <c r="I32" s="257"/>
      <c r="J32" s="257"/>
      <c r="K32" s="257"/>
      <c r="L32" s="257"/>
      <c r="M32" s="257"/>
      <c r="N32" s="257"/>
    </row>
    <row r="33" spans="3:14" s="258" customFormat="1" x14ac:dyDescent="0.25">
      <c r="C33" s="257"/>
      <c r="D33" s="257"/>
      <c r="E33" s="257"/>
      <c r="F33" s="257"/>
      <c r="G33" s="257"/>
      <c r="H33" s="257"/>
      <c r="I33" s="257"/>
      <c r="J33" s="257"/>
      <c r="K33" s="257"/>
      <c r="L33" s="257"/>
      <c r="M33" s="257"/>
      <c r="N33" s="257"/>
    </row>
    <row r="34" spans="3:14" s="258" customFormat="1" x14ac:dyDescent="0.25">
      <c r="C34" s="257"/>
      <c r="D34" s="257"/>
      <c r="E34" s="257"/>
      <c r="F34" s="257"/>
      <c r="G34" s="257"/>
      <c r="H34" s="257"/>
      <c r="I34" s="257"/>
      <c r="J34" s="257"/>
      <c r="K34" s="257"/>
      <c r="L34" s="257"/>
      <c r="M34" s="257"/>
      <c r="N34" s="257"/>
    </row>
    <row r="35" spans="3:14" s="258" customFormat="1" x14ac:dyDescent="0.25">
      <c r="C35" s="257"/>
      <c r="D35" s="257"/>
      <c r="E35" s="257"/>
      <c r="F35" s="257"/>
      <c r="G35" s="257"/>
      <c r="H35" s="257"/>
      <c r="I35" s="257"/>
      <c r="J35" s="257"/>
      <c r="K35" s="257"/>
      <c r="L35" s="257"/>
      <c r="M35" s="257"/>
      <c r="N35" s="257"/>
    </row>
    <row r="36" spans="3:14" s="258" customFormat="1" x14ac:dyDescent="0.25">
      <c r="C36" s="257"/>
      <c r="D36" s="257"/>
      <c r="E36" s="257"/>
      <c r="F36" s="257"/>
      <c r="G36" s="257"/>
      <c r="H36" s="257"/>
      <c r="I36" s="257"/>
      <c r="J36" s="257"/>
      <c r="K36" s="257"/>
      <c r="L36" s="257"/>
      <c r="M36" s="257"/>
      <c r="N36" s="257"/>
    </row>
    <row r="37" spans="3:14" s="258" customFormat="1" x14ac:dyDescent="0.25">
      <c r="C37" s="257"/>
      <c r="D37" s="257"/>
      <c r="E37" s="257"/>
      <c r="F37" s="257"/>
      <c r="G37" s="257"/>
      <c r="H37" s="257"/>
      <c r="I37" s="257"/>
      <c r="J37" s="257"/>
      <c r="K37" s="257"/>
      <c r="L37" s="257"/>
      <c r="M37" s="257"/>
      <c r="N37" s="257"/>
    </row>
    <row r="38" spans="3:14" s="258" customFormat="1" x14ac:dyDescent="0.25">
      <c r="C38" s="257"/>
      <c r="D38" s="257"/>
      <c r="E38" s="257"/>
      <c r="F38" s="257"/>
      <c r="G38" s="257"/>
      <c r="H38" s="257"/>
      <c r="I38" s="257"/>
      <c r="J38" s="257"/>
      <c r="K38" s="257"/>
      <c r="L38" s="257"/>
      <c r="M38" s="257"/>
      <c r="N38" s="257"/>
    </row>
    <row r="39" spans="3:14" s="258" customFormat="1" x14ac:dyDescent="0.25">
      <c r="C39" s="257"/>
      <c r="D39" s="257"/>
      <c r="E39" s="257"/>
      <c r="F39" s="257"/>
      <c r="G39" s="257"/>
      <c r="H39" s="257"/>
      <c r="I39" s="257"/>
      <c r="J39" s="257"/>
      <c r="K39" s="257"/>
      <c r="L39" s="257"/>
      <c r="M39" s="257"/>
      <c r="N39" s="257"/>
    </row>
    <row r="40" spans="3:14" s="258" customFormat="1" x14ac:dyDescent="0.25">
      <c r="C40" s="257"/>
      <c r="D40" s="257"/>
      <c r="E40" s="257"/>
      <c r="F40" s="257"/>
      <c r="G40" s="257"/>
      <c r="H40" s="257"/>
      <c r="I40" s="257"/>
      <c r="J40" s="257"/>
      <c r="K40" s="257"/>
      <c r="L40" s="257"/>
      <c r="M40" s="257"/>
      <c r="N40" s="257"/>
    </row>
    <row r="41" spans="3:14" s="258" customFormat="1" x14ac:dyDescent="0.25">
      <c r="C41" s="257"/>
      <c r="D41" s="257"/>
      <c r="E41" s="257"/>
      <c r="F41" s="257"/>
      <c r="G41" s="257"/>
      <c r="H41" s="257"/>
      <c r="I41" s="257"/>
      <c r="J41" s="257"/>
      <c r="K41" s="257"/>
      <c r="L41" s="257"/>
      <c r="M41" s="257"/>
      <c r="N41" s="257"/>
    </row>
    <row r="42" spans="3:14" s="258" customFormat="1" x14ac:dyDescent="0.25">
      <c r="C42" s="257"/>
      <c r="D42" s="257"/>
      <c r="E42" s="257"/>
      <c r="F42" s="257"/>
      <c r="G42" s="257"/>
      <c r="H42" s="257"/>
      <c r="I42" s="257"/>
      <c r="J42" s="257"/>
      <c r="K42" s="257"/>
      <c r="L42" s="257"/>
      <c r="M42" s="257"/>
      <c r="N42" s="257"/>
    </row>
    <row r="43" spans="3:14" s="258" customFormat="1" x14ac:dyDescent="0.25">
      <c r="C43" s="257"/>
      <c r="D43" s="257"/>
      <c r="E43" s="257"/>
      <c r="F43" s="257"/>
      <c r="G43" s="257"/>
      <c r="H43" s="257"/>
      <c r="I43" s="257"/>
      <c r="J43" s="257"/>
      <c r="K43" s="257"/>
      <c r="L43" s="257"/>
      <c r="M43" s="257"/>
      <c r="N43" s="257"/>
    </row>
    <row r="44" spans="3:14" s="258" customFormat="1" x14ac:dyDescent="0.25">
      <c r="C44" s="257"/>
      <c r="D44" s="257"/>
      <c r="E44" s="257"/>
      <c r="F44" s="257"/>
      <c r="G44" s="257"/>
      <c r="H44" s="257"/>
      <c r="I44" s="257"/>
      <c r="J44" s="257"/>
      <c r="K44" s="257"/>
      <c r="L44" s="257"/>
      <c r="M44" s="257"/>
      <c r="N44" s="257"/>
    </row>
    <row r="45" spans="3:14" s="258" customFormat="1" x14ac:dyDescent="0.25">
      <c r="C45" s="257"/>
      <c r="D45" s="257"/>
      <c r="E45" s="257"/>
      <c r="F45" s="257"/>
      <c r="G45" s="257"/>
      <c r="H45" s="257"/>
      <c r="I45" s="257"/>
      <c r="J45" s="257"/>
      <c r="K45" s="257"/>
      <c r="L45" s="257"/>
      <c r="M45" s="257"/>
      <c r="N45" s="257"/>
    </row>
    <row r="46" spans="3:14" s="258" customFormat="1" x14ac:dyDescent="0.25">
      <c r="C46" s="257"/>
      <c r="D46" s="257"/>
      <c r="E46" s="257"/>
      <c r="F46" s="257"/>
      <c r="G46" s="257"/>
      <c r="H46" s="257"/>
      <c r="I46" s="257"/>
      <c r="J46" s="257"/>
      <c r="K46" s="257"/>
      <c r="L46" s="257"/>
      <c r="M46" s="257"/>
      <c r="N46" s="257"/>
    </row>
    <row r="47" spans="3:14" s="258" customFormat="1" x14ac:dyDescent="0.25">
      <c r="C47" s="257"/>
      <c r="D47" s="257"/>
      <c r="E47" s="257"/>
      <c r="F47" s="257"/>
      <c r="G47" s="257"/>
      <c r="H47" s="257"/>
      <c r="I47" s="257"/>
      <c r="J47" s="257"/>
      <c r="K47" s="257"/>
      <c r="L47" s="257"/>
      <c r="M47" s="257"/>
      <c r="N47" s="257"/>
    </row>
    <row r="48" spans="3:14" s="258" customFormat="1" x14ac:dyDescent="0.25">
      <c r="C48" s="257"/>
      <c r="D48" s="257"/>
      <c r="E48" s="257"/>
      <c r="F48" s="257"/>
      <c r="G48" s="257"/>
      <c r="H48" s="257"/>
      <c r="I48" s="257"/>
      <c r="J48" s="257"/>
      <c r="K48" s="257"/>
      <c r="L48" s="257"/>
      <c r="M48" s="257"/>
      <c r="N48" s="257"/>
    </row>
    <row r="49" spans="2:14" s="258" customFormat="1" x14ac:dyDescent="0.25">
      <c r="C49" s="257"/>
      <c r="D49" s="257"/>
      <c r="E49" s="257"/>
      <c r="F49" s="257"/>
      <c r="G49" s="257"/>
      <c r="H49" s="257"/>
      <c r="I49" s="257"/>
      <c r="J49" s="257"/>
      <c r="K49" s="257"/>
      <c r="L49" s="257"/>
      <c r="M49" s="257"/>
      <c r="N49" s="257"/>
    </row>
    <row r="50" spans="2:14" s="258" customFormat="1" x14ac:dyDescent="0.25">
      <c r="C50" s="257"/>
      <c r="D50" s="257"/>
      <c r="E50" s="257"/>
      <c r="F50" s="257"/>
      <c r="G50" s="257"/>
      <c r="H50" s="257"/>
      <c r="I50" s="257"/>
      <c r="J50" s="257"/>
      <c r="K50" s="257"/>
      <c r="L50" s="257"/>
      <c r="M50" s="257"/>
      <c r="N50" s="257"/>
    </row>
    <row r="51" spans="2:14" s="258" customFormat="1" x14ac:dyDescent="0.25">
      <c r="C51" s="257"/>
      <c r="D51" s="257"/>
      <c r="E51" s="257"/>
      <c r="F51" s="257"/>
      <c r="G51" s="257"/>
      <c r="H51" s="257"/>
      <c r="I51" s="257"/>
      <c r="J51" s="257"/>
      <c r="K51" s="257"/>
      <c r="L51" s="257"/>
      <c r="M51" s="257"/>
      <c r="N51" s="257"/>
    </row>
    <row r="52" spans="2:14" s="258" customFormat="1" x14ac:dyDescent="0.25">
      <c r="C52" s="257"/>
      <c r="D52" s="257"/>
      <c r="E52" s="257"/>
      <c r="F52" s="257"/>
      <c r="G52" s="257"/>
      <c r="H52" s="257"/>
      <c r="I52" s="257"/>
      <c r="J52" s="257"/>
      <c r="K52" s="257"/>
      <c r="L52" s="257"/>
      <c r="M52" s="257"/>
      <c r="N52" s="257"/>
    </row>
    <row r="53" spans="2:14" s="258" customFormat="1" x14ac:dyDescent="0.25">
      <c r="C53" s="257"/>
      <c r="D53" s="257"/>
      <c r="E53" s="257"/>
      <c r="F53" s="257"/>
      <c r="G53" s="257"/>
      <c r="H53" s="257"/>
      <c r="I53" s="257"/>
      <c r="J53" s="257"/>
      <c r="K53" s="257"/>
      <c r="L53" s="257"/>
      <c r="M53" s="257"/>
      <c r="N53" s="257"/>
    </row>
    <row r="54" spans="2:14" s="258" customFormat="1" x14ac:dyDescent="0.25">
      <c r="C54" s="257"/>
      <c r="D54" s="257"/>
      <c r="E54" s="257"/>
      <c r="F54" s="257"/>
      <c r="G54" s="257"/>
      <c r="H54" s="257"/>
      <c r="I54" s="257"/>
      <c r="J54" s="257"/>
      <c r="K54" s="257"/>
      <c r="L54" s="257"/>
      <c r="M54" s="257"/>
      <c r="N54" s="257"/>
    </row>
    <row r="55" spans="2:14" s="258" customFormat="1" ht="15.75" x14ac:dyDescent="0.25">
      <c r="B55" s="259"/>
      <c r="C55" s="259"/>
      <c r="D55" s="259"/>
      <c r="E55" s="259"/>
      <c r="F55" s="259"/>
      <c r="G55" s="259"/>
      <c r="H55" s="259"/>
      <c r="I55" s="259"/>
      <c r="J55" s="259"/>
      <c r="K55" s="259"/>
      <c r="L55" s="259"/>
      <c r="M55" s="259"/>
    </row>
    <row r="56" spans="2:14" s="258" customFormat="1" ht="15.75" x14ac:dyDescent="0.25">
      <c r="B56" s="259"/>
      <c r="C56" s="260"/>
      <c r="D56" s="261"/>
      <c r="E56" s="261"/>
      <c r="F56" s="261"/>
      <c r="G56" s="261"/>
      <c r="H56" s="261"/>
      <c r="I56" s="261"/>
      <c r="J56" s="261"/>
      <c r="K56" s="261"/>
      <c r="L56" s="261"/>
      <c r="M56" s="261"/>
      <c r="N56" s="261"/>
    </row>
    <row r="57" spans="2:14" s="258" customFormat="1" ht="15.75" x14ac:dyDescent="0.25">
      <c r="B57" s="259"/>
      <c r="C57" s="262"/>
      <c r="D57" s="261"/>
      <c r="E57" s="261"/>
      <c r="F57" s="261"/>
      <c r="G57" s="261"/>
      <c r="H57" s="261"/>
      <c r="I57" s="261"/>
      <c r="J57" s="261"/>
      <c r="K57" s="261"/>
      <c r="L57" s="261"/>
      <c r="M57" s="261"/>
      <c r="N57" s="261"/>
    </row>
    <row r="58" spans="2:14" s="258" customFormat="1" ht="15.75" x14ac:dyDescent="0.25">
      <c r="B58" s="259"/>
      <c r="C58" s="260"/>
      <c r="D58" s="261"/>
      <c r="E58" s="261"/>
      <c r="F58" s="261"/>
      <c r="G58" s="261"/>
      <c r="H58" s="261"/>
      <c r="I58" s="261"/>
      <c r="J58" s="261"/>
      <c r="K58" s="261"/>
      <c r="L58" s="261"/>
      <c r="M58" s="261"/>
      <c r="N58" s="261"/>
    </row>
    <row r="59" spans="2:14" s="258" customFormat="1" ht="15.75" x14ac:dyDescent="0.25">
      <c r="B59" s="259"/>
      <c r="C59" s="262"/>
      <c r="D59" s="261"/>
      <c r="E59" s="261"/>
      <c r="F59" s="261"/>
      <c r="G59" s="261"/>
      <c r="H59" s="261"/>
      <c r="I59" s="261"/>
      <c r="J59" s="261"/>
      <c r="K59" s="261"/>
      <c r="L59" s="261"/>
      <c r="M59" s="261"/>
      <c r="N59" s="261"/>
    </row>
    <row r="60" spans="2:14" s="258" customFormat="1" ht="15.75" x14ac:dyDescent="0.25">
      <c r="B60" s="259"/>
      <c r="C60" s="263"/>
      <c r="D60" s="261"/>
      <c r="E60" s="261"/>
      <c r="F60" s="261"/>
      <c r="G60" s="261"/>
      <c r="H60" s="261"/>
      <c r="I60" s="261"/>
      <c r="J60" s="261"/>
      <c r="K60" s="261"/>
      <c r="L60" s="261"/>
      <c r="M60" s="261"/>
      <c r="N60" s="261"/>
    </row>
    <row r="61" spans="2:14" s="258" customFormat="1" ht="15.75" x14ac:dyDescent="0.25">
      <c r="B61" s="259"/>
      <c r="C61" s="263"/>
      <c r="D61" s="261"/>
      <c r="E61" s="261"/>
      <c r="F61" s="261"/>
      <c r="G61" s="261"/>
      <c r="H61" s="261"/>
      <c r="I61" s="261"/>
      <c r="J61" s="261"/>
      <c r="K61" s="261"/>
      <c r="L61" s="261"/>
      <c r="M61" s="261"/>
      <c r="N61" s="261"/>
    </row>
    <row r="62" spans="2:14" s="258" customFormat="1" ht="15.75" x14ac:dyDescent="0.25">
      <c r="B62" s="259"/>
      <c r="C62" s="263"/>
      <c r="D62" s="261"/>
      <c r="E62" s="261"/>
      <c r="F62" s="261"/>
      <c r="G62" s="261"/>
      <c r="H62" s="261"/>
      <c r="I62" s="261"/>
      <c r="J62" s="261"/>
      <c r="K62" s="261"/>
      <c r="L62" s="261"/>
      <c r="M62" s="261"/>
      <c r="N62" s="261"/>
    </row>
    <row r="63" spans="2:14" s="258" customFormat="1" ht="15.75" x14ac:dyDescent="0.25">
      <c r="B63" s="259"/>
      <c r="C63" s="263"/>
      <c r="D63" s="261"/>
      <c r="E63" s="261"/>
      <c r="F63" s="261"/>
      <c r="G63" s="261"/>
      <c r="H63" s="261"/>
      <c r="I63" s="261"/>
      <c r="J63" s="261"/>
      <c r="K63" s="261"/>
      <c r="L63" s="261"/>
      <c r="M63" s="261"/>
      <c r="N63" s="261"/>
    </row>
    <row r="64" spans="2:14" s="258" customFormat="1" ht="15.75" x14ac:dyDescent="0.25">
      <c r="B64" s="259"/>
      <c r="C64" s="263"/>
      <c r="D64" s="261"/>
      <c r="E64" s="261"/>
      <c r="F64" s="261"/>
      <c r="G64" s="261"/>
      <c r="H64" s="261"/>
      <c r="I64" s="261"/>
      <c r="J64" s="261"/>
      <c r="K64" s="261"/>
      <c r="L64" s="261"/>
      <c r="M64" s="261"/>
      <c r="N64" s="261"/>
    </row>
    <row r="65" spans="2:14" s="258" customFormat="1" ht="15.75" x14ac:dyDescent="0.25">
      <c r="B65" s="259"/>
      <c r="C65" s="263"/>
      <c r="D65" s="261"/>
      <c r="E65" s="261"/>
      <c r="F65" s="261"/>
      <c r="G65" s="261"/>
      <c r="H65" s="261"/>
      <c r="I65" s="261"/>
      <c r="J65" s="261"/>
      <c r="K65" s="261"/>
      <c r="L65" s="261"/>
      <c r="M65" s="261"/>
      <c r="N65" s="261"/>
    </row>
    <row r="66" spans="2:14" s="258" customFormat="1" ht="15.75" x14ac:dyDescent="0.25">
      <c r="B66" s="259"/>
      <c r="C66" s="263"/>
      <c r="D66" s="261"/>
      <c r="E66" s="261"/>
      <c r="F66" s="261"/>
      <c r="G66" s="261"/>
      <c r="H66" s="261"/>
      <c r="I66" s="261"/>
      <c r="J66" s="261"/>
      <c r="K66" s="261"/>
      <c r="L66" s="261"/>
      <c r="M66" s="261"/>
      <c r="N66" s="261"/>
    </row>
    <row r="67" spans="2:14" s="258" customFormat="1" x14ac:dyDescent="0.25">
      <c r="C67" s="263"/>
      <c r="D67" s="261"/>
      <c r="E67" s="261"/>
      <c r="F67" s="261"/>
      <c r="G67" s="261"/>
      <c r="H67" s="261"/>
      <c r="I67" s="261"/>
      <c r="J67" s="261"/>
      <c r="K67" s="261"/>
      <c r="L67" s="261"/>
      <c r="M67" s="261"/>
      <c r="N67" s="261"/>
    </row>
    <row r="68" spans="2:14" s="258" customFormat="1" x14ac:dyDescent="0.25">
      <c r="C68" s="263"/>
      <c r="D68" s="261"/>
      <c r="E68" s="261"/>
      <c r="F68" s="261"/>
      <c r="G68" s="261"/>
      <c r="H68" s="261"/>
      <c r="I68" s="261"/>
      <c r="J68" s="261"/>
      <c r="K68" s="261"/>
      <c r="L68" s="261"/>
      <c r="M68" s="261"/>
      <c r="N68" s="261"/>
    </row>
    <row r="69" spans="2:14" s="258" customFormat="1" x14ac:dyDescent="0.25">
      <c r="C69" s="262"/>
      <c r="D69" s="261"/>
      <c r="E69" s="261"/>
      <c r="F69" s="261"/>
      <c r="G69" s="261"/>
      <c r="H69" s="261"/>
      <c r="I69" s="261"/>
      <c r="J69" s="261"/>
      <c r="K69" s="261"/>
      <c r="L69" s="261"/>
      <c r="M69" s="261"/>
      <c r="N69" s="261"/>
    </row>
    <row r="70" spans="2:14" s="258" customFormat="1" x14ac:dyDescent="0.25">
      <c r="C70" s="264"/>
      <c r="D70" s="261"/>
      <c r="E70" s="261"/>
      <c r="F70" s="261"/>
      <c r="G70" s="261"/>
      <c r="H70" s="261"/>
      <c r="I70" s="261"/>
      <c r="J70" s="261"/>
      <c r="K70" s="261"/>
      <c r="L70" s="261"/>
      <c r="M70" s="261"/>
      <c r="N70" s="261"/>
    </row>
    <row r="71" spans="2:14" s="258" customFormat="1" x14ac:dyDescent="0.25">
      <c r="C71" s="264"/>
      <c r="D71" s="261"/>
      <c r="E71" s="261"/>
      <c r="F71" s="261"/>
      <c r="G71" s="261"/>
      <c r="H71" s="261"/>
      <c r="I71" s="261"/>
      <c r="J71" s="261"/>
      <c r="K71" s="261"/>
      <c r="L71" s="261"/>
      <c r="M71" s="261"/>
      <c r="N71" s="261"/>
    </row>
    <row r="72" spans="2:14" s="258" customFormat="1" x14ac:dyDescent="0.25">
      <c r="C72" s="260"/>
      <c r="D72" s="261"/>
      <c r="E72" s="261"/>
      <c r="F72" s="261"/>
      <c r="G72" s="261"/>
      <c r="H72" s="261"/>
      <c r="I72" s="261"/>
      <c r="J72" s="261"/>
      <c r="K72" s="261"/>
      <c r="L72" s="261"/>
      <c r="M72" s="261"/>
      <c r="N72" s="261"/>
    </row>
    <row r="73" spans="2:14" s="258" customFormat="1" x14ac:dyDescent="0.25">
      <c r="C73" s="262"/>
      <c r="D73" s="261"/>
      <c r="E73" s="261"/>
      <c r="F73" s="261"/>
      <c r="G73" s="261"/>
      <c r="H73" s="261"/>
      <c r="I73" s="261"/>
      <c r="J73" s="261"/>
      <c r="K73" s="261"/>
      <c r="L73" s="261"/>
      <c r="M73" s="261"/>
      <c r="N73" s="261"/>
    </row>
    <row r="74" spans="2:14" s="258" customFormat="1" x14ac:dyDescent="0.25">
      <c r="C74" s="265"/>
      <c r="D74" s="261"/>
      <c r="E74" s="261"/>
      <c r="F74" s="261"/>
      <c r="G74" s="261"/>
      <c r="H74" s="261"/>
      <c r="I74" s="261"/>
      <c r="J74" s="261"/>
      <c r="K74" s="261"/>
      <c r="L74" s="261"/>
      <c r="M74" s="261"/>
      <c r="N74" s="261"/>
    </row>
    <row r="75" spans="2:14" s="258" customFormat="1" x14ac:dyDescent="0.25">
      <c r="C75" s="260"/>
      <c r="D75" s="261"/>
      <c r="E75" s="261"/>
      <c r="F75" s="261"/>
      <c r="G75" s="261"/>
      <c r="H75" s="261"/>
      <c r="I75" s="261"/>
      <c r="J75" s="261"/>
      <c r="K75" s="261"/>
      <c r="L75" s="261"/>
      <c r="M75" s="261"/>
      <c r="N75" s="261"/>
    </row>
    <row r="76" spans="2:14" s="258" customFormat="1" x14ac:dyDescent="0.25">
      <c r="C76" s="262"/>
      <c r="D76" s="261"/>
      <c r="E76" s="261"/>
      <c r="F76" s="261"/>
      <c r="G76" s="261"/>
      <c r="H76" s="261"/>
      <c r="I76" s="261"/>
      <c r="J76" s="261"/>
      <c r="K76" s="261"/>
      <c r="L76" s="261"/>
      <c r="M76" s="261"/>
      <c r="N76" s="261"/>
    </row>
    <row r="77" spans="2:14" s="258" customFormat="1" x14ac:dyDescent="0.25">
      <c r="C77" s="266"/>
    </row>
    <row r="78" spans="2:14" s="258" customFormat="1" x14ac:dyDescent="0.25">
      <c r="C78" s="267"/>
    </row>
    <row r="79" spans="2:14" s="258" customFormat="1" x14ac:dyDescent="0.25">
      <c r="C79" s="267"/>
    </row>
    <row r="80" spans="2:14" s="258" customFormat="1" x14ac:dyDescent="0.25">
      <c r="C80" s="267"/>
    </row>
    <row r="81" spans="3:3" s="258" customFormat="1" x14ac:dyDescent="0.25">
      <c r="C81" s="267"/>
    </row>
    <row r="82" spans="3:3" s="258" customFormat="1" x14ac:dyDescent="0.25">
      <c r="C82" s="267"/>
    </row>
    <row r="83" spans="3:3" s="258" customFormat="1" x14ac:dyDescent="0.25">
      <c r="C83" s="267"/>
    </row>
    <row r="84" spans="3:3" s="258" customFormat="1" x14ac:dyDescent="0.25">
      <c r="C84" s="260"/>
    </row>
    <row r="85" spans="3:3" s="258" customFormat="1" x14ac:dyDescent="0.25">
      <c r="C85" s="262"/>
    </row>
  </sheetData>
  <sheetProtection sheet="1" objects="1" scenarios="1"/>
  <mergeCells count="11">
    <mergeCell ref="B5:I6"/>
    <mergeCell ref="C8:D8"/>
    <mergeCell ref="E8:F8"/>
    <mergeCell ref="C17:N17"/>
    <mergeCell ref="C18:N18"/>
    <mergeCell ref="C16:N16"/>
    <mergeCell ref="C15:N15"/>
    <mergeCell ref="C14:N14"/>
    <mergeCell ref="C13:N13"/>
    <mergeCell ref="C12:N12"/>
    <mergeCell ref="C11:N11"/>
  </mergeCells>
  <phoneticPr fontId="50"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9E1AE-1F69-4039-9F36-9A94B66267A8}">
  <sheetPr>
    <pageSetUpPr fitToPage="1"/>
  </sheetPr>
  <dimension ref="B1:J53"/>
  <sheetViews>
    <sheetView showGridLines="0" tabSelected="1" zoomScaleNormal="100" workbookViewId="0">
      <selection activeCell="E10" sqref="E10"/>
    </sheetView>
  </sheetViews>
  <sheetFormatPr defaultColWidth="8.85546875" defaultRowHeight="15" x14ac:dyDescent="0.25"/>
  <cols>
    <col min="1" max="2" width="6.7109375" customWidth="1"/>
    <col min="3" max="3" width="47.42578125" customWidth="1"/>
    <col min="4" max="4" width="4.85546875" bestFit="1" customWidth="1"/>
    <col min="5" max="5" width="35" customWidth="1"/>
    <col min="6" max="6" width="37.7109375" customWidth="1"/>
    <col min="7" max="8" width="6.7109375" customWidth="1"/>
  </cols>
  <sheetData>
    <row r="1" spans="2:10" ht="15.75" thickBot="1" x14ac:dyDescent="0.3"/>
    <row r="2" spans="2:10" ht="23.25" thickBot="1" x14ac:dyDescent="0.35">
      <c r="B2" s="293" t="s">
        <v>73</v>
      </c>
      <c r="C2" s="294"/>
      <c r="D2" s="294"/>
      <c r="E2" s="294"/>
      <c r="F2" s="294"/>
      <c r="G2" s="294"/>
      <c r="H2" s="295"/>
    </row>
    <row r="3" spans="2:10" ht="16.5" thickBot="1" x14ac:dyDescent="0.3">
      <c r="B3" s="1"/>
      <c r="C3" s="1"/>
      <c r="D3" s="1"/>
      <c r="E3" s="1"/>
      <c r="F3" s="1"/>
      <c r="G3" s="1"/>
      <c r="H3" s="1"/>
    </row>
    <row r="4" spans="2:10" ht="23.25" thickBot="1" x14ac:dyDescent="0.35">
      <c r="B4" s="1"/>
      <c r="C4" s="217"/>
      <c r="D4" s="217"/>
      <c r="E4" s="247" t="s">
        <v>224</v>
      </c>
      <c r="F4" s="247" t="s">
        <v>225</v>
      </c>
      <c r="G4" s="1"/>
      <c r="H4" s="1"/>
    </row>
    <row r="5" spans="2:10" ht="20.25" x14ac:dyDescent="0.3">
      <c r="C5" s="45" t="s">
        <v>79</v>
      </c>
      <c r="D5" s="35"/>
      <c r="E5" s="245" t="s">
        <v>81</v>
      </c>
      <c r="F5" s="246" t="s">
        <v>93</v>
      </c>
    </row>
    <row r="6" spans="2:10" ht="15.75" x14ac:dyDescent="0.25">
      <c r="C6" s="13"/>
      <c r="D6" s="5"/>
      <c r="E6" s="34"/>
      <c r="F6" s="92"/>
    </row>
    <row r="7" spans="2:10" ht="15.75" x14ac:dyDescent="0.25">
      <c r="C7" s="57" t="str">
        <f>Revenue!B7</f>
        <v>Ewe-Related Sales</v>
      </c>
      <c r="D7" s="5"/>
      <c r="E7" s="148">
        <f>Revenue!G8</f>
        <v>4122.5</v>
      </c>
      <c r="F7" s="98">
        <f>E7/'Production Parameters'!$C$5</f>
        <v>16.489999999999998</v>
      </c>
    </row>
    <row r="8" spans="2:10" ht="15.75" x14ac:dyDescent="0.25">
      <c r="C8" s="57" t="str">
        <f>Revenue!B10</f>
        <v>Ram-Related Sales</v>
      </c>
      <c r="D8" s="5"/>
      <c r="E8" s="148">
        <f>Revenue!G11</f>
        <v>270</v>
      </c>
      <c r="F8" s="98">
        <f>E8/'Production Parameters'!$C$5</f>
        <v>1.08</v>
      </c>
    </row>
    <row r="9" spans="2:10" ht="15.75" x14ac:dyDescent="0.25">
      <c r="C9" s="171" t="str">
        <f>Revenue!B13</f>
        <v>Lamb Sales</v>
      </c>
      <c r="D9" s="5"/>
      <c r="E9" s="148"/>
      <c r="F9" s="98"/>
    </row>
    <row r="10" spans="2:10" ht="15.75" x14ac:dyDescent="0.25">
      <c r="C10" s="57" t="s">
        <v>152</v>
      </c>
      <c r="D10" s="5"/>
      <c r="E10" s="148">
        <f>Revenue!G14</f>
        <v>0</v>
      </c>
      <c r="F10" s="98">
        <f>E10/'Production Parameters'!$C$5</f>
        <v>0</v>
      </c>
    </row>
    <row r="11" spans="2:10" ht="15.75" x14ac:dyDescent="0.25">
      <c r="C11" s="57" t="s">
        <v>153</v>
      </c>
      <c r="D11" s="5"/>
      <c r="E11" s="148">
        <f>Revenue!G16</f>
        <v>87087</v>
      </c>
      <c r="F11" s="98">
        <f>E11/'Production Parameters'!$C$5</f>
        <v>348.34800000000001</v>
      </c>
    </row>
    <row r="12" spans="2:10" ht="15.75" x14ac:dyDescent="0.25">
      <c r="C12" s="57" t="str">
        <f>Revenue!B19</f>
        <v>Wool</v>
      </c>
      <c r="D12" s="5"/>
      <c r="E12" s="148">
        <f>Revenue!G20</f>
        <v>2000</v>
      </c>
      <c r="F12" s="98">
        <f>E12/'Production Parameters'!$C$5</f>
        <v>8</v>
      </c>
      <c r="J12" s="1"/>
    </row>
    <row r="13" spans="2:10" ht="15.75" x14ac:dyDescent="0.25">
      <c r="C13" s="57" t="str">
        <f>Revenue!B23</f>
        <v>Other Revenue</v>
      </c>
      <c r="D13" s="5"/>
      <c r="E13" s="148" t="str">
        <f>Revenue!G28</f>
        <v/>
      </c>
      <c r="F13" s="98" t="str">
        <f>IF(E13="","",E13/'Production Parameters'!$C$5)</f>
        <v/>
      </c>
      <c r="J13" s="1"/>
    </row>
    <row r="14" spans="2:10" ht="16.5" thickBot="1" x14ac:dyDescent="0.3">
      <c r="C14" s="36"/>
      <c r="D14" s="6"/>
      <c r="E14" s="149"/>
      <c r="F14" s="99"/>
    </row>
    <row r="15" spans="2:10" ht="19.5" thickBot="1" x14ac:dyDescent="0.35">
      <c r="C15" s="156" t="str">
        <f>Revenue!B2</f>
        <v>Total Gross Revenue</v>
      </c>
      <c r="D15" s="157"/>
      <c r="E15" s="150">
        <f>Revenue!G2</f>
        <v>93514.5</v>
      </c>
      <c r="F15" s="100">
        <f>E15/'Production Parameters'!$C$5</f>
        <v>374.05799999999999</v>
      </c>
    </row>
    <row r="16" spans="2:10" ht="16.5" thickTop="1" x14ac:dyDescent="0.25">
      <c r="C16" s="15"/>
      <c r="D16" s="5"/>
      <c r="E16" s="34"/>
      <c r="F16" s="92"/>
    </row>
    <row r="17" spans="3:6" ht="20.25" x14ac:dyDescent="0.3">
      <c r="C17" s="45" t="s">
        <v>91</v>
      </c>
      <c r="D17" s="35"/>
      <c r="E17" s="203" t="s">
        <v>95</v>
      </c>
      <c r="F17" s="204" t="s">
        <v>96</v>
      </c>
    </row>
    <row r="18" spans="3:6" ht="15.75" x14ac:dyDescent="0.25">
      <c r="C18" s="143"/>
      <c r="D18" s="144"/>
      <c r="E18" s="58"/>
      <c r="F18" s="93"/>
    </row>
    <row r="19" spans="3:6" ht="15.75" x14ac:dyDescent="0.25">
      <c r="C19" s="146" t="str">
        <f>'Expenses - Variable'!B15</f>
        <v>Total Animal Purchases</v>
      </c>
      <c r="D19" s="144"/>
      <c r="E19" s="59">
        <f>'Expenses - Variable'!H15</f>
        <v>8400</v>
      </c>
      <c r="F19" s="59">
        <f>E19/'Production Parameters'!$C$5</f>
        <v>33.6</v>
      </c>
    </row>
    <row r="20" spans="3:6" ht="15.75" x14ac:dyDescent="0.25">
      <c r="C20" s="146" t="str">
        <f>'Expenses - Variable'!B56</f>
        <v>Total Feed Expenses</v>
      </c>
      <c r="D20" s="144"/>
      <c r="E20" s="59">
        <f>'Expenses - Variable'!H56</f>
        <v>38531.15051428572</v>
      </c>
      <c r="F20" s="59">
        <f>E20/'Production Parameters'!$C$5</f>
        <v>154.12460205714288</v>
      </c>
    </row>
    <row r="21" spans="3:6" ht="15.75" x14ac:dyDescent="0.25">
      <c r="C21" s="143" t="str">
        <f>'Expenses - Variable'!B88</f>
        <v>Total Other Expenses</v>
      </c>
      <c r="D21" s="144"/>
      <c r="E21" s="59">
        <f>'Expenses - Variable'!H88</f>
        <v>18174.61</v>
      </c>
      <c r="F21" s="59">
        <f>E21/'Production Parameters'!$C$5</f>
        <v>72.698440000000005</v>
      </c>
    </row>
    <row r="22" spans="3:6" ht="16.5" thickBot="1" x14ac:dyDescent="0.3">
      <c r="C22" s="145"/>
      <c r="D22" s="144"/>
      <c r="E22" s="62"/>
      <c r="F22" s="62"/>
    </row>
    <row r="23" spans="3:6" ht="16.5" thickBot="1" x14ac:dyDescent="0.3">
      <c r="C23" s="143" t="str">
        <f>'Expenses - Variable'!B2</f>
        <v>Total Expenses - Variable</v>
      </c>
      <c r="D23" s="144"/>
      <c r="E23" s="60">
        <f>'Expenses - Variable'!H2</f>
        <v>65105.760514285721</v>
      </c>
      <c r="F23" s="60">
        <f>E23/'Production Parameters'!$C$5</f>
        <v>260.42304205714288</v>
      </c>
    </row>
    <row r="24" spans="3:6" ht="16.5" thickTop="1" x14ac:dyDescent="0.25">
      <c r="C24" s="145"/>
      <c r="D24" s="144"/>
      <c r="E24" s="61"/>
      <c r="F24" s="94"/>
    </row>
    <row r="25" spans="3:6" ht="21" thickBot="1" x14ac:dyDescent="0.35">
      <c r="C25" s="45" t="s">
        <v>92</v>
      </c>
      <c r="D25" s="35"/>
      <c r="E25" s="205" t="s">
        <v>94</v>
      </c>
      <c r="F25" s="206" t="s">
        <v>97</v>
      </c>
    </row>
    <row r="26" spans="3:6" ht="15.75" x14ac:dyDescent="0.25">
      <c r="C26" s="20"/>
      <c r="D26" s="21"/>
      <c r="E26" s="71"/>
      <c r="F26" s="93"/>
    </row>
    <row r="27" spans="3:6" ht="15.75" x14ac:dyDescent="0.25">
      <c r="C27" s="171" t="str">
        <f>'Expenses - Fixed'!B19</f>
        <v xml:space="preserve">Total Annualized Fixed Expenses </v>
      </c>
      <c r="D27" s="5"/>
      <c r="E27" s="59">
        <f>'Expenses - Fixed'!G19</f>
        <v>15353.978701122564</v>
      </c>
      <c r="F27" s="70">
        <f>E27/'Production Parameters'!$C$5</f>
        <v>61.415914804490257</v>
      </c>
    </row>
    <row r="28" spans="3:6" ht="15.75" x14ac:dyDescent="0.25">
      <c r="C28" s="171" t="str">
        <f>'Expenses - Fixed'!B32</f>
        <v>Total Overhead and Fixed Expenses</v>
      </c>
      <c r="D28" s="5"/>
      <c r="E28" s="59">
        <f>'Expenses - Fixed'!G32</f>
        <v>3000</v>
      </c>
      <c r="F28" s="70">
        <f>E28/'Production Parameters'!$C$5</f>
        <v>12</v>
      </c>
    </row>
    <row r="29" spans="3:6" ht="15.75" x14ac:dyDescent="0.25">
      <c r="C29" s="57"/>
      <c r="D29" s="5"/>
      <c r="E29" s="61"/>
      <c r="F29" s="142"/>
    </row>
    <row r="30" spans="3:6" ht="16.5" thickBot="1" x14ac:dyDescent="0.3">
      <c r="C30" s="171" t="str">
        <f>'Expenses - Fixed'!B2</f>
        <v>Total Expenses - Fixed &amp; Overhead</v>
      </c>
      <c r="D30" s="5"/>
      <c r="E30" s="151">
        <f>'Expenses - Fixed'!G2</f>
        <v>18353.978701122564</v>
      </c>
      <c r="F30" s="151">
        <f>E30/'Production Parameters'!$C$5</f>
        <v>73.415914804490257</v>
      </c>
    </row>
    <row r="31" spans="3:6" ht="16.5" thickTop="1" x14ac:dyDescent="0.25">
      <c r="C31" s="171"/>
      <c r="D31" s="5"/>
      <c r="E31" s="142"/>
      <c r="F31" s="142"/>
    </row>
    <row r="32" spans="3:6" ht="20.25" x14ac:dyDescent="0.3">
      <c r="C32" s="45" t="s">
        <v>110</v>
      </c>
      <c r="D32" s="35"/>
      <c r="E32" s="205" t="s">
        <v>122</v>
      </c>
      <c r="F32" s="206" t="s">
        <v>123</v>
      </c>
    </row>
    <row r="33" spans="3:7" ht="16.5" thickBot="1" x14ac:dyDescent="0.3">
      <c r="C33" s="13" t="s">
        <v>120</v>
      </c>
      <c r="D33" s="5"/>
      <c r="E33" s="151">
        <f>Taxes!G2</f>
        <v>1700</v>
      </c>
      <c r="F33" s="151">
        <f>E33/'Production Parameters'!$C$5</f>
        <v>6.8</v>
      </c>
    </row>
    <row r="34" spans="3:7" ht="17.25" thickTop="1" thickBot="1" x14ac:dyDescent="0.3">
      <c r="C34" s="36"/>
      <c r="D34" s="6"/>
      <c r="E34" s="155"/>
      <c r="F34" s="142"/>
    </row>
    <row r="35" spans="3:7" ht="19.5" thickBot="1" x14ac:dyDescent="0.35">
      <c r="C35" s="156" t="s">
        <v>156</v>
      </c>
      <c r="D35" s="157"/>
      <c r="E35" s="151">
        <f>E23+E30+E33</f>
        <v>85159.739215408277</v>
      </c>
      <c r="F35" s="152">
        <f>E35/'Production Parameters'!$C$5</f>
        <v>340.63895686163312</v>
      </c>
    </row>
    <row r="36" spans="3:7" ht="17.25" thickTop="1" thickBot="1" x14ac:dyDescent="0.3">
      <c r="C36" s="171"/>
      <c r="D36" s="5"/>
      <c r="E36" s="147"/>
      <c r="F36" s="147"/>
    </row>
    <row r="37" spans="3:7" ht="24" thickBot="1" x14ac:dyDescent="0.4">
      <c r="C37" s="187" t="s">
        <v>154</v>
      </c>
      <c r="D37" s="188"/>
      <c r="E37" s="189">
        <f>E15-E35</f>
        <v>8354.7607845917228</v>
      </c>
      <c r="F37" s="190">
        <f>E37/'Production Parameters'!$C$5</f>
        <v>33.419043138366888</v>
      </c>
    </row>
    <row r="38" spans="3:7" ht="16.5" thickBot="1" x14ac:dyDescent="0.3">
      <c r="C38" s="17"/>
      <c r="D38" s="6"/>
      <c r="E38" s="12"/>
      <c r="F38" s="95"/>
    </row>
    <row r="39" spans="3:7" ht="20.25" x14ac:dyDescent="0.3">
      <c r="C39" s="44" t="s">
        <v>111</v>
      </c>
      <c r="D39" s="33"/>
      <c r="E39" s="207" t="s">
        <v>215</v>
      </c>
      <c r="F39" s="208" t="s">
        <v>216</v>
      </c>
    </row>
    <row r="40" spans="3:7" ht="16.5" thickBot="1" x14ac:dyDescent="0.3">
      <c r="C40" s="13" t="str">
        <f>'Non-Farm Adjustments'!B23</f>
        <v>Total Non-Farm Adjustments</v>
      </c>
      <c r="D40" s="5"/>
      <c r="E40" s="153">
        <f>'Non-Farm Adjustments'!G23</f>
        <v>0</v>
      </c>
      <c r="F40" s="154">
        <f>E40/'Production Parameters'!$C$5</f>
        <v>0</v>
      </c>
    </row>
    <row r="41" spans="3:7" ht="17.25" thickTop="1" thickBot="1" x14ac:dyDescent="0.3">
      <c r="C41" s="38"/>
      <c r="D41" s="6"/>
      <c r="E41" s="191"/>
      <c r="F41" s="192"/>
    </row>
    <row r="42" spans="3:7" ht="21" thickBot="1" x14ac:dyDescent="0.35">
      <c r="C42" s="193" t="s">
        <v>214</v>
      </c>
      <c r="D42" s="194"/>
      <c r="E42" s="195">
        <f>E37+E40</f>
        <v>8354.7607845917228</v>
      </c>
      <c r="F42" s="196">
        <f>F37+F40</f>
        <v>33.419043138366888</v>
      </c>
    </row>
    <row r="44" spans="3:7" ht="16.5" thickBot="1" x14ac:dyDescent="0.3">
      <c r="C44" s="96"/>
      <c r="D44" s="97"/>
      <c r="E44" s="97"/>
      <c r="F44" s="97"/>
    </row>
    <row r="45" spans="3:7" ht="20.25" x14ac:dyDescent="0.3">
      <c r="C45" s="209" t="s">
        <v>165</v>
      </c>
      <c r="D45" s="172"/>
      <c r="E45" s="172"/>
      <c r="F45" s="173"/>
    </row>
    <row r="46" spans="3:7" ht="15.75" x14ac:dyDescent="0.25">
      <c r="C46" s="174"/>
      <c r="D46" s="175"/>
      <c r="E46" s="175"/>
      <c r="F46" s="176"/>
      <c r="G46" s="180"/>
    </row>
    <row r="47" spans="3:7" ht="15.75" x14ac:dyDescent="0.25">
      <c r="C47" s="177"/>
      <c r="D47" s="178"/>
      <c r="E47" s="178" t="s">
        <v>205</v>
      </c>
      <c r="F47" s="179" t="s">
        <v>204</v>
      </c>
      <c r="G47" s="180" t="s">
        <v>226</v>
      </c>
    </row>
    <row r="48" spans="3:7" ht="15.75" x14ac:dyDescent="0.25">
      <c r="C48" s="177" t="s">
        <v>207</v>
      </c>
      <c r="D48" s="178"/>
      <c r="E48" s="178"/>
      <c r="F48" s="179"/>
      <c r="G48" s="161"/>
    </row>
    <row r="49" spans="3:7" ht="15.75" x14ac:dyDescent="0.25">
      <c r="C49" s="15" t="s">
        <v>164</v>
      </c>
      <c r="D49" s="5"/>
      <c r="E49" s="182">
        <f>(E35-SUM('Expenses - Variable'!H43:H50))/('Production Parameters'!C26*'Production Parameters'!C28)</f>
        <v>3.0165877603581297</v>
      </c>
      <c r="F49" s="24">
        <f>Revenue!E14/100-'Summary Budget'!E49</f>
        <v>-3.0165877603581297</v>
      </c>
      <c r="G49" s="161" t="s">
        <v>218</v>
      </c>
    </row>
    <row r="50" spans="3:7" ht="15.75" x14ac:dyDescent="0.25">
      <c r="C50" s="13" t="s">
        <v>206</v>
      </c>
      <c r="D50" s="5"/>
      <c r="E50" s="181"/>
      <c r="F50" s="22"/>
    </row>
    <row r="51" spans="3:7" ht="15.75" x14ac:dyDescent="0.25">
      <c r="C51" s="15" t="s">
        <v>162</v>
      </c>
      <c r="D51" s="5"/>
      <c r="E51" s="182">
        <f>IF('Production Parameters'!C40=0,"No Animals Sold by Live Weight",((E35)*'Production Parameters'!C40)/('Production Parameters'!C36*'Production Parameters'!C32*'Production Parameters'!C40))</f>
        <v>1.9068459295881834</v>
      </c>
      <c r="F51" s="24">
        <f>IF(E51="No Animals Sold by Live Weight", "No Animals Sold by Live Weight", Revenue!E16/100-'Summary Budget'!E51)</f>
        <v>4.3154070411816514E-2</v>
      </c>
      <c r="G51" s="161" t="s">
        <v>211</v>
      </c>
    </row>
    <row r="52" spans="3:7" ht="15.75" x14ac:dyDescent="0.25">
      <c r="C52" s="15" t="s">
        <v>163</v>
      </c>
      <c r="D52" s="5"/>
      <c r="E52" s="183" t="str">
        <f>IF('Production Parameters'!C41=0, "No Animals Sold by Carcass Weight", (E35*'Production Parameters'!C41)/(('Production Parameters'!C36*'Production Parameters'!C32*'Production Parameters'!C41)*'Production Parameters'!C39))</f>
        <v>No Animals Sold by Carcass Weight</v>
      </c>
      <c r="F52" s="24" t="str">
        <f>IF(E52="No Animals Sold by Carcass Weight", "No Animals Sold by Carcass Weight", Revenue!E17/100-'Summary Budget'!E52)</f>
        <v>No Animals Sold by Carcass Weight</v>
      </c>
      <c r="G52" s="161" t="s">
        <v>212</v>
      </c>
    </row>
    <row r="53" spans="3:7" ht="16.5" thickBot="1" x14ac:dyDescent="0.3">
      <c r="C53" s="32"/>
      <c r="D53" s="6"/>
      <c r="E53" s="6"/>
      <c r="F53" s="106"/>
    </row>
  </sheetData>
  <sheetProtection sheet="1" objects="1" scenarios="1"/>
  <mergeCells count="1">
    <mergeCell ref="B2:H2"/>
  </mergeCells>
  <pageMargins left="0.7" right="0.7" top="0.75" bottom="0.75" header="0.3" footer="0.3"/>
  <pageSetup scale="52" orientation="landscape" horizontalDpi="4294967293" verticalDpi="4294967293"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2883F-1E62-44A4-BBBC-A23644766F4E}">
  <sheetPr>
    <pageSetUpPr fitToPage="1"/>
  </sheetPr>
  <dimension ref="B1:N52"/>
  <sheetViews>
    <sheetView showGridLines="0" zoomScale="91" zoomScaleNormal="91" workbookViewId="0">
      <selection activeCell="C27" sqref="C27"/>
    </sheetView>
  </sheetViews>
  <sheetFormatPr defaultColWidth="8.7109375" defaultRowHeight="15.75" x14ac:dyDescent="0.25"/>
  <cols>
    <col min="1" max="1" width="2.7109375" style="1" customWidth="1"/>
    <col min="2" max="2" width="43.28515625" style="1" customWidth="1"/>
    <col min="3" max="3" width="9.140625" style="1" bestFit="1" customWidth="1"/>
    <col min="4" max="4" width="31.140625" style="1" bestFit="1" customWidth="1"/>
    <col min="5" max="5" width="5.42578125" style="1" customWidth="1"/>
    <col min="6" max="6" width="3.42578125" style="1" customWidth="1"/>
    <col min="7" max="7" width="39.7109375" style="1" customWidth="1"/>
    <col min="8" max="8" width="14.42578125" style="1" bestFit="1" customWidth="1"/>
    <col min="9" max="9" width="12.7109375" style="1" customWidth="1"/>
    <col min="10" max="10" width="7" style="1" customWidth="1"/>
    <col min="11" max="11" width="19.42578125" style="1" customWidth="1"/>
    <col min="12" max="12" width="10.42578125" style="1" customWidth="1"/>
    <col min="13" max="16384" width="8.7109375" style="1"/>
  </cols>
  <sheetData>
    <row r="1" spans="2:12" ht="16.5" thickBot="1" x14ac:dyDescent="0.3"/>
    <row r="2" spans="2:12" ht="23.25" thickBot="1" x14ac:dyDescent="0.35">
      <c r="B2" s="55" t="s">
        <v>74</v>
      </c>
      <c r="C2" s="9"/>
      <c r="D2" s="19"/>
      <c r="E2" s="10"/>
      <c r="G2" s="55" t="s">
        <v>54</v>
      </c>
      <c r="H2" s="162"/>
      <c r="I2" s="21"/>
      <c r="J2" s="21"/>
      <c r="K2" s="21"/>
      <c r="L2" s="10"/>
    </row>
    <row r="3" spans="2:12" x14ac:dyDescent="0.25">
      <c r="B3" s="15"/>
      <c r="C3" s="25" t="s">
        <v>5</v>
      </c>
      <c r="D3" s="25" t="s">
        <v>19</v>
      </c>
      <c r="E3" s="11"/>
      <c r="G3" s="15"/>
      <c r="H3" s="5"/>
      <c r="I3" s="5"/>
      <c r="J3" s="5"/>
      <c r="K3" s="5"/>
      <c r="L3" s="11"/>
    </row>
    <row r="4" spans="2:12" ht="31.5" x14ac:dyDescent="0.25">
      <c r="B4" s="13" t="s">
        <v>0</v>
      </c>
      <c r="C4" s="5"/>
      <c r="D4" s="5"/>
      <c r="E4" s="11"/>
      <c r="G4" s="15"/>
      <c r="H4" s="211" t="s">
        <v>71</v>
      </c>
      <c r="I4" s="211" t="s">
        <v>38</v>
      </c>
      <c r="J4" s="211" t="s">
        <v>39</v>
      </c>
      <c r="K4" s="211" t="s">
        <v>40</v>
      </c>
      <c r="L4" s="212" t="s">
        <v>41</v>
      </c>
    </row>
    <row r="5" spans="2:12" x14ac:dyDescent="0.25">
      <c r="B5" s="14" t="s">
        <v>7</v>
      </c>
      <c r="C5" s="223">
        <v>250</v>
      </c>
      <c r="D5" s="5" t="s">
        <v>28</v>
      </c>
      <c r="E5" s="11"/>
      <c r="G5" s="13" t="s">
        <v>2</v>
      </c>
      <c r="H5" s="5"/>
      <c r="I5" s="5"/>
      <c r="J5" s="5"/>
      <c r="K5" s="5"/>
      <c r="L5" s="11"/>
    </row>
    <row r="6" spans="2:12" x14ac:dyDescent="0.25">
      <c r="B6" s="14" t="s">
        <v>8</v>
      </c>
      <c r="C6" s="223">
        <v>25</v>
      </c>
      <c r="D6" s="5" t="s">
        <v>28</v>
      </c>
      <c r="E6" s="11"/>
      <c r="G6" s="14" t="s">
        <v>22</v>
      </c>
      <c r="H6" s="229">
        <v>100</v>
      </c>
      <c r="I6" s="5" t="s">
        <v>42</v>
      </c>
      <c r="J6" s="5" t="s">
        <v>29</v>
      </c>
      <c r="K6" s="223">
        <v>2000</v>
      </c>
      <c r="L6" s="22">
        <f>IF(K6=0, "", H6/K6)</f>
        <v>0.05</v>
      </c>
    </row>
    <row r="7" spans="2:12" x14ac:dyDescent="0.25">
      <c r="B7" s="14" t="s">
        <v>9</v>
      </c>
      <c r="C7" s="223">
        <v>15</v>
      </c>
      <c r="D7" s="5" t="s">
        <v>28</v>
      </c>
      <c r="E7" s="11"/>
      <c r="G7" s="14" t="s">
        <v>23</v>
      </c>
      <c r="H7" s="229">
        <v>150</v>
      </c>
      <c r="I7" s="5" t="s">
        <v>42</v>
      </c>
      <c r="J7" s="5" t="s">
        <v>29</v>
      </c>
      <c r="K7" s="223">
        <v>2000</v>
      </c>
      <c r="L7" s="22">
        <f>IF(K7=0, "", H7/K7)</f>
        <v>7.4999999999999997E-2</v>
      </c>
    </row>
    <row r="8" spans="2:12" x14ac:dyDescent="0.25">
      <c r="B8" s="14" t="s">
        <v>20</v>
      </c>
      <c r="C8" s="223">
        <v>170</v>
      </c>
      <c r="D8" s="5" t="s">
        <v>29</v>
      </c>
      <c r="E8" s="11"/>
      <c r="G8" s="14" t="s">
        <v>43</v>
      </c>
      <c r="H8" s="229">
        <v>28</v>
      </c>
      <c r="I8" s="5" t="s">
        <v>44</v>
      </c>
      <c r="J8" s="5" t="s">
        <v>29</v>
      </c>
      <c r="K8" s="223">
        <v>50</v>
      </c>
      <c r="L8" s="22">
        <f t="shared" ref="L8:L10" si="0">IF(K8=0, "", H8/K8)</f>
        <v>0.56000000000000005</v>
      </c>
    </row>
    <row r="9" spans="2:12" x14ac:dyDescent="0.25">
      <c r="B9" s="14" t="s">
        <v>27</v>
      </c>
      <c r="C9" s="224">
        <f>SUM(C6:C7)</f>
        <v>40</v>
      </c>
      <c r="D9" s="5"/>
      <c r="E9" s="11"/>
      <c r="G9" s="14" t="s">
        <v>24</v>
      </c>
      <c r="H9" s="229">
        <v>43</v>
      </c>
      <c r="I9" s="5" t="s">
        <v>255</v>
      </c>
      <c r="J9" s="5" t="s">
        <v>45</v>
      </c>
      <c r="K9" s="223">
        <v>1</v>
      </c>
      <c r="L9" s="22">
        <f t="shared" si="0"/>
        <v>43</v>
      </c>
    </row>
    <row r="10" spans="2:12" x14ac:dyDescent="0.25">
      <c r="B10" s="110" t="s">
        <v>160</v>
      </c>
      <c r="C10" s="224">
        <v>0</v>
      </c>
      <c r="D10" s="5" t="s">
        <v>32</v>
      </c>
      <c r="E10" s="11"/>
      <c r="G10" s="14" t="s">
        <v>25</v>
      </c>
      <c r="H10" s="229">
        <v>5.5</v>
      </c>
      <c r="I10" s="5" t="s">
        <v>46</v>
      </c>
      <c r="J10" s="5" t="s">
        <v>29</v>
      </c>
      <c r="K10" s="223">
        <v>56</v>
      </c>
      <c r="L10" s="22">
        <f t="shared" si="0"/>
        <v>9.8214285714285712E-2</v>
      </c>
    </row>
    <row r="11" spans="2:12" x14ac:dyDescent="0.25">
      <c r="B11" s="110" t="s">
        <v>157</v>
      </c>
      <c r="C11" s="224">
        <v>1.4</v>
      </c>
      <c r="D11" s="5" t="s">
        <v>158</v>
      </c>
      <c r="E11" s="11"/>
      <c r="G11" s="14" t="s">
        <v>26</v>
      </c>
      <c r="H11" s="231">
        <v>0.2</v>
      </c>
      <c r="I11" s="28" t="s">
        <v>47</v>
      </c>
      <c r="J11" s="5" t="s">
        <v>47</v>
      </c>
      <c r="K11" s="232">
        <v>1</v>
      </c>
      <c r="L11" s="22">
        <f>IF(K11=0, "", H11/K11)</f>
        <v>0.2</v>
      </c>
    </row>
    <row r="12" spans="2:12" x14ac:dyDescent="0.25">
      <c r="B12" s="110"/>
      <c r="C12" s="202"/>
      <c r="D12" s="5"/>
      <c r="E12" s="11"/>
      <c r="G12" s="14" t="s">
        <v>198</v>
      </c>
      <c r="H12" s="229">
        <v>21.99</v>
      </c>
      <c r="I12" s="28" t="s">
        <v>44</v>
      </c>
      <c r="J12" s="5" t="s">
        <v>29</v>
      </c>
      <c r="K12" s="223">
        <v>50</v>
      </c>
      <c r="L12" s="22">
        <f>IF(K12=0, "", H12/K12)</f>
        <v>0.43979999999999997</v>
      </c>
    </row>
    <row r="13" spans="2:12" ht="16.5" thickBot="1" x14ac:dyDescent="0.3">
      <c r="B13" s="171" t="s">
        <v>1</v>
      </c>
      <c r="C13" s="5"/>
      <c r="D13" s="5"/>
      <c r="E13" s="11"/>
      <c r="G13" s="17"/>
      <c r="H13" s="49"/>
      <c r="I13" s="27"/>
      <c r="J13" s="6"/>
      <c r="K13" s="50"/>
      <c r="L13" s="26"/>
    </row>
    <row r="14" spans="2:12" ht="16.5" thickBot="1" x14ac:dyDescent="0.3">
      <c r="B14" s="14" t="s">
        <v>12</v>
      </c>
      <c r="C14" s="223">
        <v>5</v>
      </c>
      <c r="D14" s="5" t="s">
        <v>30</v>
      </c>
      <c r="E14" s="11"/>
      <c r="G14" s="1" t="s">
        <v>256</v>
      </c>
    </row>
    <row r="15" spans="2:12" ht="23.25" thickBot="1" x14ac:dyDescent="0.35">
      <c r="B15" s="14" t="s">
        <v>13</v>
      </c>
      <c r="C15" s="223">
        <v>5</v>
      </c>
      <c r="D15" s="158" t="s">
        <v>31</v>
      </c>
      <c r="E15" s="11"/>
      <c r="G15" s="163" t="s">
        <v>231</v>
      </c>
      <c r="H15" s="21"/>
      <c r="I15" s="21"/>
      <c r="J15" s="10"/>
      <c r="K15" s="3"/>
      <c r="L15" s="3"/>
    </row>
    <row r="16" spans="2:12" x14ac:dyDescent="0.25">
      <c r="B16" s="14" t="s">
        <v>14</v>
      </c>
      <c r="C16" s="225" t="s">
        <v>258</v>
      </c>
      <c r="D16" s="5"/>
      <c r="E16" s="11"/>
      <c r="G16" s="15"/>
      <c r="H16" s="5"/>
      <c r="I16" s="5"/>
      <c r="J16" s="11"/>
      <c r="K16" s="3"/>
      <c r="L16" s="3"/>
    </row>
    <row r="17" spans="2:12" x14ac:dyDescent="0.25">
      <c r="B17" s="18" t="s">
        <v>137</v>
      </c>
      <c r="C17" s="223">
        <v>300</v>
      </c>
      <c r="D17" s="5" t="s">
        <v>29</v>
      </c>
      <c r="E17" s="11"/>
      <c r="G17" s="15"/>
      <c r="H17" s="25" t="s">
        <v>5</v>
      </c>
      <c r="I17" s="25" t="s">
        <v>19</v>
      </c>
      <c r="J17" s="11"/>
      <c r="K17" s="3"/>
      <c r="L17" s="3"/>
    </row>
    <row r="18" spans="2:12" x14ac:dyDescent="0.25">
      <c r="B18" s="110" t="s">
        <v>139</v>
      </c>
      <c r="C18" s="198">
        <f>ROUNDUP(C14/C15,0)</f>
        <v>1</v>
      </c>
      <c r="D18" s="5" t="s">
        <v>32</v>
      </c>
      <c r="E18" s="11"/>
      <c r="G18" s="13" t="s">
        <v>233</v>
      </c>
      <c r="H18" s="5"/>
      <c r="I18" s="5"/>
      <c r="J18" s="11"/>
      <c r="K18" s="3"/>
      <c r="L18" s="3"/>
    </row>
    <row r="19" spans="2:12" x14ac:dyDescent="0.25">
      <c r="B19" s="110" t="s">
        <v>217</v>
      </c>
      <c r="C19" s="226">
        <v>0</v>
      </c>
      <c r="D19" s="5" t="s">
        <v>32</v>
      </c>
      <c r="E19" s="11"/>
      <c r="G19" s="14" t="s">
        <v>182</v>
      </c>
      <c r="H19" s="223">
        <v>549</v>
      </c>
      <c r="I19" s="5" t="s">
        <v>178</v>
      </c>
      <c r="J19" s="11"/>
      <c r="K19" s="3"/>
      <c r="L19" s="3"/>
    </row>
    <row r="20" spans="2:12" x14ac:dyDescent="0.25">
      <c r="B20" s="110"/>
      <c r="C20" s="202"/>
      <c r="D20" s="202"/>
      <c r="E20" s="11"/>
      <c r="G20" s="14" t="s">
        <v>183</v>
      </c>
      <c r="H20" s="201">
        <f>IF(C5/H19="", "", C5/H19)</f>
        <v>0.45537340619307831</v>
      </c>
      <c r="I20" s="5" t="s">
        <v>177</v>
      </c>
      <c r="J20" s="11"/>
      <c r="K20" s="3"/>
      <c r="L20" s="3"/>
    </row>
    <row r="21" spans="2:12" x14ac:dyDescent="0.25">
      <c r="B21" s="171" t="s">
        <v>3</v>
      </c>
      <c r="C21" s="5"/>
      <c r="D21" s="5"/>
      <c r="E21" s="11"/>
      <c r="G21" s="218"/>
      <c r="H21" s="159"/>
      <c r="I21" s="159"/>
      <c r="J21" s="219"/>
      <c r="K21" s="3"/>
      <c r="L21" s="3"/>
    </row>
    <row r="22" spans="2:12" x14ac:dyDescent="0.25">
      <c r="B22" s="14" t="s">
        <v>159</v>
      </c>
      <c r="C22" s="5">
        <f>C5*C11</f>
        <v>350</v>
      </c>
      <c r="D22" s="5" t="s">
        <v>32</v>
      </c>
      <c r="E22" s="11"/>
      <c r="G22" s="220"/>
      <c r="H22" s="221"/>
      <c r="I22" s="221"/>
      <c r="J22" s="186"/>
    </row>
    <row r="23" spans="2:12" x14ac:dyDescent="0.25">
      <c r="B23" s="110" t="s">
        <v>130</v>
      </c>
      <c r="C23" s="227">
        <v>0.06</v>
      </c>
      <c r="D23" s="5"/>
      <c r="E23" s="11"/>
      <c r="G23" s="171" t="s">
        <v>234</v>
      </c>
      <c r="H23" s="5"/>
      <c r="I23" s="5"/>
      <c r="J23" s="11"/>
    </row>
    <row r="24" spans="2:12" x14ac:dyDescent="0.25">
      <c r="B24" s="110"/>
      <c r="C24" s="202"/>
      <c r="D24" s="202"/>
      <c r="E24" s="11"/>
      <c r="G24" s="14" t="s">
        <v>249</v>
      </c>
      <c r="H24" s="229">
        <v>50000</v>
      </c>
      <c r="I24" s="5"/>
      <c r="J24" s="11"/>
    </row>
    <row r="25" spans="2:12" x14ac:dyDescent="0.25">
      <c r="B25" s="199" t="s">
        <v>219</v>
      </c>
      <c r="C25" s="5"/>
      <c r="D25" s="5"/>
      <c r="E25" s="11"/>
      <c r="G25" s="14" t="s">
        <v>248</v>
      </c>
      <c r="H25" s="229">
        <v>20000</v>
      </c>
      <c r="I25" s="5"/>
      <c r="J25" s="11"/>
    </row>
    <row r="26" spans="2:12" x14ac:dyDescent="0.25">
      <c r="B26" s="14" t="s">
        <v>15</v>
      </c>
      <c r="C26" s="159">
        <f>C22-C22*C23</f>
        <v>329</v>
      </c>
      <c r="D26" s="5" t="s">
        <v>32</v>
      </c>
      <c r="E26" s="11"/>
      <c r="G26" s="14" t="s">
        <v>194</v>
      </c>
      <c r="H26" s="223">
        <v>20</v>
      </c>
      <c r="I26" s="5" t="s">
        <v>31</v>
      </c>
      <c r="J26" s="11"/>
    </row>
    <row r="27" spans="2:12" x14ac:dyDescent="0.25">
      <c r="B27" s="110" t="s">
        <v>128</v>
      </c>
      <c r="C27" s="228">
        <f>-Revenue!F10+'Title Page'!Q30</f>
        <v>0</v>
      </c>
      <c r="D27" s="5" t="s">
        <v>32</v>
      </c>
      <c r="E27" s="11"/>
      <c r="G27" s="218"/>
      <c r="H27" s="159"/>
      <c r="I27" s="159"/>
      <c r="J27" s="219"/>
    </row>
    <row r="28" spans="2:12" x14ac:dyDescent="0.25">
      <c r="B28" s="14" t="s">
        <v>16</v>
      </c>
      <c r="C28" s="223">
        <v>75</v>
      </c>
      <c r="D28" s="5" t="s">
        <v>29</v>
      </c>
      <c r="E28" s="11"/>
      <c r="G28" s="15"/>
      <c r="H28" s="5"/>
      <c r="I28" s="5"/>
      <c r="J28" s="11"/>
    </row>
    <row r="29" spans="2:12" x14ac:dyDescent="0.25">
      <c r="B29" s="14"/>
      <c r="C29" s="210"/>
      <c r="D29" s="5"/>
      <c r="E29" s="11"/>
      <c r="G29" s="13" t="s">
        <v>187</v>
      </c>
      <c r="H29" s="5"/>
      <c r="I29" s="5"/>
      <c r="J29" s="11"/>
    </row>
    <row r="30" spans="2:12" x14ac:dyDescent="0.25">
      <c r="B30" s="199" t="s">
        <v>220</v>
      </c>
      <c r="C30" s="5"/>
      <c r="D30" s="5"/>
      <c r="E30" s="11"/>
      <c r="G30" s="14" t="s">
        <v>190</v>
      </c>
      <c r="H30" s="229">
        <v>6</v>
      </c>
      <c r="I30" s="5" t="s">
        <v>181</v>
      </c>
      <c r="J30" s="11"/>
    </row>
    <row r="31" spans="2:12" x14ac:dyDescent="0.25">
      <c r="B31" s="14" t="s">
        <v>21</v>
      </c>
      <c r="C31" s="223">
        <v>130</v>
      </c>
      <c r="D31" s="5" t="s">
        <v>55</v>
      </c>
      <c r="E31" s="11"/>
      <c r="G31" s="14" t="s">
        <v>194</v>
      </c>
      <c r="H31" s="223">
        <v>10</v>
      </c>
      <c r="I31" s="5" t="s">
        <v>31</v>
      </c>
      <c r="J31" s="11"/>
    </row>
    <row r="32" spans="2:12" x14ac:dyDescent="0.25">
      <c r="B32" s="110" t="s">
        <v>129</v>
      </c>
      <c r="C32" s="223">
        <v>140</v>
      </c>
      <c r="D32" s="5" t="s">
        <v>29</v>
      </c>
      <c r="E32" s="11"/>
      <c r="G32" s="15"/>
      <c r="H32" s="5"/>
      <c r="I32" s="5"/>
      <c r="J32" s="11"/>
    </row>
    <row r="33" spans="2:14" x14ac:dyDescent="0.25">
      <c r="B33" s="110" t="s">
        <v>135</v>
      </c>
      <c r="C33" s="113">
        <f>(C32-C28)/130</f>
        <v>0.5</v>
      </c>
      <c r="D33" s="5" t="s">
        <v>136</v>
      </c>
      <c r="E33" s="11"/>
      <c r="G33" s="14" t="s">
        <v>184</v>
      </c>
      <c r="H33" s="114">
        <f>(208.71/H37)*SQRT(H19)*4</f>
        <v>3260.154419716956</v>
      </c>
      <c r="I33" s="5" t="s">
        <v>185</v>
      </c>
      <c r="J33" s="11"/>
    </row>
    <row r="34" spans="2:14" x14ac:dyDescent="0.25">
      <c r="B34" s="110" t="s">
        <v>131</v>
      </c>
      <c r="C34" s="227">
        <v>3.2000000000000001E-2</v>
      </c>
      <c r="D34" s="5"/>
      <c r="E34" s="11"/>
      <c r="G34" s="218" t="s">
        <v>186</v>
      </c>
      <c r="H34" s="222">
        <f>H33*H30</f>
        <v>19560.926518301734</v>
      </c>
      <c r="I34" s="159"/>
      <c r="J34" s="219"/>
    </row>
    <row r="35" spans="2:14" x14ac:dyDescent="0.25">
      <c r="B35" s="110" t="s">
        <v>140</v>
      </c>
      <c r="C35" s="224">
        <v>0</v>
      </c>
      <c r="D35" s="5" t="s">
        <v>32</v>
      </c>
      <c r="E35" s="11"/>
      <c r="G35" s="15"/>
      <c r="H35" s="5"/>
      <c r="I35" s="5"/>
      <c r="J35" s="11"/>
    </row>
    <row r="36" spans="2:14" x14ac:dyDescent="0.25">
      <c r="B36" s="110" t="s">
        <v>132</v>
      </c>
      <c r="C36" s="184">
        <f>ROUNDUP((C26-C27)-(C26-C27)*C34, 0)</f>
        <v>319</v>
      </c>
      <c r="D36" s="5" t="s">
        <v>32</v>
      </c>
      <c r="E36" s="11"/>
      <c r="G36" s="13" t="s">
        <v>188</v>
      </c>
      <c r="H36" s="5"/>
      <c r="I36" s="5"/>
      <c r="J36" s="11"/>
    </row>
    <row r="37" spans="2:14" x14ac:dyDescent="0.25">
      <c r="B37" s="14"/>
      <c r="C37" s="185"/>
      <c r="D37" s="5"/>
      <c r="E37" s="11"/>
      <c r="G37" s="14" t="s">
        <v>213</v>
      </c>
      <c r="H37" s="223">
        <v>6</v>
      </c>
      <c r="I37" s="5" t="s">
        <v>180</v>
      </c>
      <c r="J37" s="11"/>
    </row>
    <row r="38" spans="2:14" x14ac:dyDescent="0.25">
      <c r="B38" s="200" t="s">
        <v>221</v>
      </c>
      <c r="C38" s="5"/>
      <c r="D38" s="5"/>
      <c r="E38" s="11"/>
      <c r="F38" s="2"/>
      <c r="G38" s="14" t="s">
        <v>189</v>
      </c>
      <c r="H38" s="229">
        <v>25</v>
      </c>
      <c r="I38" s="5" t="s">
        <v>179</v>
      </c>
      <c r="J38" s="11"/>
      <c r="M38" s="102"/>
    </row>
    <row r="39" spans="2:14" x14ac:dyDescent="0.25">
      <c r="B39" s="14" t="s">
        <v>161</v>
      </c>
      <c r="C39" s="227">
        <v>0</v>
      </c>
      <c r="D39" s="5"/>
      <c r="E39" s="11"/>
      <c r="G39" s="14" t="s">
        <v>194</v>
      </c>
      <c r="H39" s="223">
        <v>10</v>
      </c>
      <c r="I39" s="5" t="s">
        <v>31</v>
      </c>
      <c r="J39" s="11"/>
      <c r="K39" s="2"/>
      <c r="L39" s="2"/>
    </row>
    <row r="40" spans="2:14" x14ac:dyDescent="0.25">
      <c r="B40" s="14" t="s">
        <v>222</v>
      </c>
      <c r="C40" s="227">
        <v>1</v>
      </c>
      <c r="D40" s="5"/>
      <c r="E40" s="11"/>
      <c r="G40" s="15"/>
      <c r="H40" s="5"/>
      <c r="I40" s="5"/>
      <c r="J40" s="11"/>
    </row>
    <row r="41" spans="2:14" x14ac:dyDescent="0.25">
      <c r="B41" s="14" t="s">
        <v>223</v>
      </c>
      <c r="C41" s="185">
        <f>1-C40</f>
        <v>0</v>
      </c>
      <c r="D41" s="5"/>
      <c r="E41" s="11"/>
      <c r="G41" s="14" t="s">
        <v>192</v>
      </c>
      <c r="H41" s="114">
        <f>H33-1</f>
        <v>3259.154419716956</v>
      </c>
      <c r="I41" s="5" t="s">
        <v>193</v>
      </c>
      <c r="J41" s="11"/>
      <c r="N41" s="102"/>
    </row>
    <row r="42" spans="2:14" x14ac:dyDescent="0.25">
      <c r="B42" s="14"/>
      <c r="C42" s="185"/>
      <c r="D42" s="5"/>
      <c r="E42" s="11"/>
      <c r="G42" s="14" t="s">
        <v>191</v>
      </c>
      <c r="H42" s="30">
        <f>H41*H38</f>
        <v>81478.860492923894</v>
      </c>
      <c r="I42" s="5"/>
      <c r="J42" s="11"/>
      <c r="N42" s="102"/>
    </row>
    <row r="43" spans="2:14" x14ac:dyDescent="0.25">
      <c r="B43" s="84" t="s">
        <v>199</v>
      </c>
      <c r="C43" s="160"/>
      <c r="D43" s="5"/>
      <c r="E43" s="11"/>
      <c r="G43" s="218"/>
      <c r="H43" s="222"/>
      <c r="I43" s="159"/>
      <c r="J43" s="219"/>
      <c r="N43" s="102"/>
    </row>
    <row r="44" spans="2:14" x14ac:dyDescent="0.25">
      <c r="B44" s="14" t="s">
        <v>25</v>
      </c>
      <c r="C44" s="223">
        <v>130</v>
      </c>
      <c r="D44" s="5" t="s">
        <v>197</v>
      </c>
      <c r="E44" s="11"/>
      <c r="G44" s="15"/>
      <c r="H44" s="5"/>
      <c r="I44" s="5"/>
      <c r="J44" s="11"/>
      <c r="N44" s="102"/>
    </row>
    <row r="45" spans="2:14" x14ac:dyDescent="0.25">
      <c r="B45" s="14" t="s">
        <v>200</v>
      </c>
      <c r="C45" s="223">
        <v>29</v>
      </c>
      <c r="D45" s="5" t="s">
        <v>197</v>
      </c>
      <c r="E45" s="11"/>
      <c r="G45" s="13" t="s">
        <v>235</v>
      </c>
      <c r="H45" s="5"/>
      <c r="I45" s="5"/>
      <c r="J45" s="11"/>
    </row>
    <row r="46" spans="2:14" x14ac:dyDescent="0.25">
      <c r="B46" s="14" t="s">
        <v>22</v>
      </c>
      <c r="C46" s="223">
        <v>162</v>
      </c>
      <c r="D46" s="5" t="s">
        <v>197</v>
      </c>
      <c r="E46" s="11"/>
      <c r="G46" s="13"/>
      <c r="H46" s="5"/>
      <c r="I46" s="5"/>
      <c r="J46" s="11"/>
    </row>
    <row r="47" spans="2:14" x14ac:dyDescent="0.25">
      <c r="B47" s="14" t="s">
        <v>229</v>
      </c>
      <c r="C47" s="168">
        <f>(C44+C45+C46)/C31</f>
        <v>2.4692307692307693</v>
      </c>
      <c r="D47" s="5" t="s">
        <v>201</v>
      </c>
      <c r="E47" s="11"/>
      <c r="G47" s="14" t="s">
        <v>249</v>
      </c>
      <c r="H47" s="229">
        <v>40000</v>
      </c>
      <c r="I47" s="5"/>
      <c r="J47" s="11"/>
    </row>
    <row r="48" spans="2:14" x14ac:dyDescent="0.25">
      <c r="B48" s="14"/>
      <c r="C48" s="201"/>
      <c r="D48" s="5"/>
      <c r="E48" s="11"/>
      <c r="G48" s="14" t="s">
        <v>248</v>
      </c>
      <c r="H48" s="229">
        <v>20000</v>
      </c>
      <c r="I48" s="5"/>
      <c r="J48" s="11"/>
    </row>
    <row r="49" spans="2:10" x14ac:dyDescent="0.25">
      <c r="B49" s="171" t="s">
        <v>17</v>
      </c>
      <c r="C49" s="5"/>
      <c r="D49" s="5"/>
      <c r="E49" s="11"/>
      <c r="G49" s="14" t="s">
        <v>194</v>
      </c>
      <c r="H49" s="230">
        <v>10</v>
      </c>
      <c r="I49" s="5" t="s">
        <v>31</v>
      </c>
      <c r="J49" s="11"/>
    </row>
    <row r="50" spans="2:10" ht="16.5" thickBot="1" x14ac:dyDescent="0.3">
      <c r="B50" s="14" t="s">
        <v>18</v>
      </c>
      <c r="C50" s="223">
        <v>8</v>
      </c>
      <c r="D50" s="5" t="s">
        <v>133</v>
      </c>
      <c r="E50" s="11"/>
      <c r="G50" s="32"/>
      <c r="H50" s="6"/>
      <c r="I50" s="6"/>
      <c r="J50" s="12"/>
    </row>
    <row r="51" spans="2:10" x14ac:dyDescent="0.25">
      <c r="B51" s="14" t="s">
        <v>141</v>
      </c>
      <c r="C51" s="223">
        <v>7</v>
      </c>
      <c r="D51" s="5" t="s">
        <v>142</v>
      </c>
      <c r="E51" s="11"/>
    </row>
    <row r="52" spans="2:10" ht="16.5" thickBot="1" x14ac:dyDescent="0.3">
      <c r="B52" s="32"/>
      <c r="C52" s="6"/>
      <c r="D52" s="6"/>
      <c r="E52" s="12"/>
    </row>
  </sheetData>
  <sheetProtection sheet="1" objects="1" scenarios="1"/>
  <pageMargins left="0.7" right="0.7" top="0.75" bottom="0.75" header="0.3" footer="0.3"/>
  <pageSetup scale="61"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C1F6B-C4F1-40D9-86D5-9055CBFC5944}">
  <sheetPr>
    <tabColor theme="9" tint="0.79998168889431442"/>
    <pageSetUpPr fitToPage="1"/>
  </sheetPr>
  <dimension ref="B1:H31"/>
  <sheetViews>
    <sheetView showGridLines="0" zoomScaleNormal="100" workbookViewId="0">
      <selection activeCell="G14" sqref="G14"/>
    </sheetView>
  </sheetViews>
  <sheetFormatPr defaultColWidth="8.7109375" defaultRowHeight="15.75" x14ac:dyDescent="0.25"/>
  <cols>
    <col min="1" max="1" width="4" style="1" customWidth="1"/>
    <col min="2" max="2" width="23" style="1" bestFit="1" customWidth="1"/>
    <col min="3" max="3" width="12" style="1" customWidth="1"/>
    <col min="4" max="4" width="8.140625" style="1" bestFit="1" customWidth="1"/>
    <col min="5" max="5" width="9.42578125" style="1" bestFit="1" customWidth="1"/>
    <col min="6" max="6" width="8.140625" style="1" bestFit="1" customWidth="1"/>
    <col min="7" max="7" width="22.42578125" style="1" customWidth="1"/>
    <col min="8" max="16384" width="8.7109375" style="1"/>
  </cols>
  <sheetData>
    <row r="1" spans="2:8" ht="6.6" customHeight="1" thickBot="1" x14ac:dyDescent="0.3"/>
    <row r="2" spans="2:8" ht="23.25" thickBot="1" x14ac:dyDescent="0.35">
      <c r="B2" s="53" t="s">
        <v>155</v>
      </c>
      <c r="C2" s="54"/>
      <c r="D2" s="54"/>
      <c r="E2" s="54"/>
      <c r="F2" s="54"/>
      <c r="G2" s="69">
        <f>G30</f>
        <v>93514.5</v>
      </c>
    </row>
    <row r="3" spans="2:8" ht="16.5" thickBot="1" x14ac:dyDescent="0.3"/>
    <row r="4" spans="2:8" ht="23.25" thickBot="1" x14ac:dyDescent="0.3">
      <c r="B4" s="56" t="s">
        <v>79</v>
      </c>
      <c r="C4" s="21"/>
      <c r="D4" s="21"/>
      <c r="E4" s="21"/>
      <c r="F4" s="21"/>
      <c r="G4" s="10"/>
    </row>
    <row r="5" spans="2:8" x14ac:dyDescent="0.25">
      <c r="B5" s="15"/>
      <c r="C5" s="175" t="s">
        <v>5</v>
      </c>
      <c r="D5" s="5" t="s">
        <v>19</v>
      </c>
      <c r="E5" s="5" t="s">
        <v>6</v>
      </c>
      <c r="F5" s="5" t="s">
        <v>51</v>
      </c>
      <c r="G5" s="176" t="s">
        <v>117</v>
      </c>
    </row>
    <row r="6" spans="2:8" x14ac:dyDescent="0.25">
      <c r="B6" s="15"/>
      <c r="C6" s="175"/>
      <c r="D6" s="5"/>
      <c r="E6" s="5"/>
      <c r="F6" s="5"/>
      <c r="G6" s="22"/>
    </row>
    <row r="7" spans="2:8" x14ac:dyDescent="0.25">
      <c r="B7" s="13" t="s">
        <v>10</v>
      </c>
      <c r="C7" s="175"/>
      <c r="D7" s="5"/>
      <c r="E7" s="5"/>
      <c r="F7" s="5"/>
      <c r="G7" s="22"/>
    </row>
    <row r="8" spans="2:8" x14ac:dyDescent="0.25">
      <c r="B8" s="14" t="s">
        <v>33</v>
      </c>
      <c r="C8" s="268">
        <f>IF('Production Parameters'!C6 = 0, 0, 'Production Parameters'!C6 * 'Production Parameters'!C8)/100</f>
        <v>42.5</v>
      </c>
      <c r="D8" s="5" t="s">
        <v>52</v>
      </c>
      <c r="E8" s="233">
        <v>97</v>
      </c>
      <c r="F8" s="5" t="s">
        <v>52</v>
      </c>
      <c r="G8" s="24">
        <f>IF(C8*E8=0,"",C8*E8)</f>
        <v>4122.5</v>
      </c>
    </row>
    <row r="9" spans="2:8" x14ac:dyDescent="0.25">
      <c r="B9" s="15"/>
      <c r="C9" s="175"/>
      <c r="D9" s="5"/>
      <c r="E9" s="5"/>
      <c r="F9" s="5"/>
      <c r="G9" s="22"/>
    </row>
    <row r="10" spans="2:8" x14ac:dyDescent="0.25">
      <c r="B10" s="13" t="s">
        <v>11</v>
      </c>
      <c r="C10" s="175"/>
      <c r="D10" s="5"/>
      <c r="E10" s="5"/>
      <c r="F10" s="5"/>
      <c r="G10" s="22"/>
    </row>
    <row r="11" spans="2:8" x14ac:dyDescent="0.25">
      <c r="B11" s="14" t="s">
        <v>35</v>
      </c>
      <c r="C11" s="250">
        <f>(IF('Production Parameters'!C15 = 0, 0, 'Production Parameters'!C14/'Production Parameters'!C15)*'Production Parameters'!C17)/100</f>
        <v>3</v>
      </c>
      <c r="D11" s="5" t="s">
        <v>52</v>
      </c>
      <c r="E11" s="233">
        <v>90</v>
      </c>
      <c r="F11" s="5" t="s">
        <v>52</v>
      </c>
      <c r="G11" s="24">
        <f>IF(C11*E11=0, "", C11*E11)</f>
        <v>270</v>
      </c>
      <c r="H11" s="47"/>
    </row>
    <row r="12" spans="2:8" x14ac:dyDescent="0.25">
      <c r="B12" s="15"/>
      <c r="C12" s="175"/>
      <c r="D12" s="5"/>
      <c r="E12" s="5"/>
      <c r="F12" s="5"/>
      <c r="G12" s="22"/>
    </row>
    <row r="13" spans="2:8" x14ac:dyDescent="0.25">
      <c r="B13" s="13" t="s">
        <v>210</v>
      </c>
      <c r="C13" s="175"/>
      <c r="D13" s="5"/>
      <c r="E13" s="5"/>
      <c r="F13" s="5"/>
      <c r="G13" s="22"/>
    </row>
    <row r="14" spans="2:8" x14ac:dyDescent="0.25">
      <c r="B14" s="14" t="s">
        <v>37</v>
      </c>
      <c r="C14" s="269">
        <f>('Production Parameters'!C27*'Production Parameters'!C28)/100</f>
        <v>0</v>
      </c>
      <c r="D14" s="5" t="s">
        <v>52</v>
      </c>
      <c r="E14" s="233">
        <v>0</v>
      </c>
      <c r="F14" s="5" t="s">
        <v>52</v>
      </c>
      <c r="G14" s="24">
        <f>C14*E14</f>
        <v>0</v>
      </c>
    </row>
    <row r="15" spans="2:8" x14ac:dyDescent="0.25">
      <c r="B15" s="197" t="s">
        <v>134</v>
      </c>
      <c r="C15" s="175"/>
      <c r="D15" s="5"/>
      <c r="E15" s="5"/>
      <c r="F15" s="5"/>
      <c r="G15" s="186"/>
      <c r="H15" s="47"/>
    </row>
    <row r="16" spans="2:8" x14ac:dyDescent="0.25">
      <c r="B16" s="110" t="s">
        <v>208</v>
      </c>
      <c r="C16" s="269">
        <f>(('Production Parameters'!$C$36*'Production Parameters'!$C$32)/100)*'Production Parameters'!$C$40</f>
        <v>446.6</v>
      </c>
      <c r="D16" s="5" t="s">
        <v>52</v>
      </c>
      <c r="E16" s="233">
        <v>195</v>
      </c>
      <c r="F16" s="5" t="s">
        <v>52</v>
      </c>
      <c r="G16" s="24">
        <f>C16*E16</f>
        <v>87087</v>
      </c>
      <c r="H16" s="47"/>
    </row>
    <row r="17" spans="2:7" x14ac:dyDescent="0.25">
      <c r="B17" s="14" t="s">
        <v>209</v>
      </c>
      <c r="C17" s="269">
        <f>(('Production Parameters'!$C$36*'Production Parameters'!$C$32)/100)*'Production Parameters'!$C$41*'Production Parameters'!C39</f>
        <v>0</v>
      </c>
      <c r="D17" s="5" t="s">
        <v>52</v>
      </c>
      <c r="E17" s="233">
        <v>350</v>
      </c>
      <c r="F17" s="5" t="s">
        <v>52</v>
      </c>
      <c r="G17" s="52">
        <f>C17*E17</f>
        <v>0</v>
      </c>
    </row>
    <row r="18" spans="2:7" x14ac:dyDescent="0.25">
      <c r="B18" s="14"/>
      <c r="C18" s="175"/>
      <c r="D18" s="5"/>
      <c r="E18" s="5"/>
      <c r="F18" s="5"/>
      <c r="G18" s="22"/>
    </row>
    <row r="19" spans="2:7" x14ac:dyDescent="0.25">
      <c r="B19" s="13" t="s">
        <v>17</v>
      </c>
      <c r="C19" s="175"/>
      <c r="D19" s="5"/>
      <c r="E19" s="5"/>
      <c r="F19" s="5"/>
      <c r="G19" s="22"/>
    </row>
    <row r="20" spans="2:7" x14ac:dyDescent="0.25">
      <c r="B20" s="14" t="s">
        <v>168</v>
      </c>
      <c r="C20" s="248">
        <f>'Production Parameters'!C50*'Production Parameters'!C5</f>
        <v>2000</v>
      </c>
      <c r="D20" s="5" t="s">
        <v>29</v>
      </c>
      <c r="E20" s="233">
        <v>1</v>
      </c>
      <c r="F20" s="5" t="s">
        <v>53</v>
      </c>
      <c r="G20" s="24">
        <f>IF(C20*E20=0, "", C20*E20)</f>
        <v>2000</v>
      </c>
    </row>
    <row r="21" spans="2:7" x14ac:dyDescent="0.25">
      <c r="B21" s="14" t="s">
        <v>169</v>
      </c>
      <c r="C21" s="248">
        <f>'Production Parameters'!C51*'Production Parameters'!C14</f>
        <v>35</v>
      </c>
      <c r="D21" s="5" t="s">
        <v>29</v>
      </c>
      <c r="E21" s="233">
        <v>1</v>
      </c>
      <c r="F21" s="5" t="s">
        <v>53</v>
      </c>
      <c r="G21" s="52">
        <f>IF(C21*E21=0,"",C21*E21)</f>
        <v>35</v>
      </c>
    </row>
    <row r="22" spans="2:7" x14ac:dyDescent="0.25">
      <c r="B22" s="15"/>
      <c r="C22" s="175"/>
      <c r="D22" s="5"/>
      <c r="E22" s="5"/>
      <c r="F22" s="5"/>
      <c r="G22" s="22"/>
    </row>
    <row r="23" spans="2:7" x14ac:dyDescent="0.25">
      <c r="B23" s="13" t="s">
        <v>80</v>
      </c>
      <c r="C23" s="175"/>
      <c r="D23" s="5"/>
      <c r="E23" s="5"/>
      <c r="F23" s="5"/>
      <c r="G23" s="22"/>
    </row>
    <row r="24" spans="2:7" x14ac:dyDescent="0.25">
      <c r="B24" s="14" t="s">
        <v>80</v>
      </c>
      <c r="C24" s="249"/>
      <c r="D24" s="5" t="s">
        <v>84</v>
      </c>
      <c r="E24" s="223"/>
      <c r="F24" s="5" t="s">
        <v>85</v>
      </c>
      <c r="G24" s="24" t="str">
        <f>IF(C24*E24=0, "", C24*E24)</f>
        <v/>
      </c>
    </row>
    <row r="25" spans="2:7" x14ac:dyDescent="0.25">
      <c r="B25" s="14" t="s">
        <v>80</v>
      </c>
      <c r="C25" s="249"/>
      <c r="D25" s="5" t="s">
        <v>84</v>
      </c>
      <c r="E25" s="223"/>
      <c r="F25" s="5" t="s">
        <v>85</v>
      </c>
      <c r="G25" s="52" t="str">
        <f t="shared" ref="G25:G26" si="0">IF(C25*E25=0, "", C25*E25)</f>
        <v/>
      </c>
    </row>
    <row r="26" spans="2:7" x14ac:dyDescent="0.25">
      <c r="B26" s="14" t="s">
        <v>80</v>
      </c>
      <c r="C26" s="249"/>
      <c r="D26" s="5" t="s">
        <v>84</v>
      </c>
      <c r="E26" s="223"/>
      <c r="F26" s="5" t="s">
        <v>85</v>
      </c>
      <c r="G26" s="52" t="str">
        <f t="shared" si="0"/>
        <v/>
      </c>
    </row>
    <row r="27" spans="2:7" x14ac:dyDescent="0.25">
      <c r="B27" s="13"/>
      <c r="C27" s="25"/>
      <c r="D27" s="5"/>
      <c r="E27" s="5"/>
      <c r="F27" s="5"/>
      <c r="G27" s="22"/>
    </row>
    <row r="28" spans="2:7" x14ac:dyDescent="0.25">
      <c r="B28" s="13" t="s">
        <v>77</v>
      </c>
      <c r="C28" s="5"/>
      <c r="D28" s="5"/>
      <c r="E28" s="5"/>
      <c r="F28" s="5"/>
      <c r="G28" s="24" t="str">
        <f>IF(SUM(G24:G26)=0,"",SUM(G24:G26))</f>
        <v/>
      </c>
    </row>
    <row r="29" spans="2:7" x14ac:dyDescent="0.25">
      <c r="B29" s="13"/>
      <c r="C29" s="5"/>
      <c r="D29" s="5"/>
      <c r="E29" s="5"/>
      <c r="F29" s="5"/>
      <c r="G29" s="22"/>
    </row>
    <row r="30" spans="2:7" ht="16.5" thickBot="1" x14ac:dyDescent="0.3">
      <c r="B30" s="13" t="s">
        <v>78</v>
      </c>
      <c r="C30" s="5"/>
      <c r="D30" s="5"/>
      <c r="E30" s="5"/>
      <c r="F30" s="5"/>
      <c r="G30" s="90">
        <f>SUM(G8,G11,G16,G21,G14,G17,G20,G28)</f>
        <v>93514.5</v>
      </c>
    </row>
    <row r="31" spans="2:7" ht="17.25" thickTop="1" thickBot="1" x14ac:dyDescent="0.3">
      <c r="B31" s="38"/>
      <c r="C31" s="6"/>
      <c r="D31" s="6"/>
      <c r="E31" s="6"/>
      <c r="F31" s="6"/>
      <c r="G31" s="26"/>
    </row>
  </sheetData>
  <sheetProtection sheet="1" objects="1" scenarios="1"/>
  <pageMargins left="0.7" right="0.7" top="0.75" bottom="0.75" header="0.3" footer="0.3"/>
  <pageSetup fitToHeight="0" orientation="portrait" horizontalDpi="4294967293" verticalDpi="4294967293"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4B77D-D10B-4C0B-96EB-8DDCA946CE00}">
  <sheetPr>
    <tabColor rgb="FFFFCCCC"/>
    <pageSetUpPr fitToPage="1"/>
  </sheetPr>
  <dimension ref="A1:J103"/>
  <sheetViews>
    <sheetView showGridLines="0" zoomScaleNormal="100" workbookViewId="0">
      <selection activeCell="I18" sqref="I18"/>
    </sheetView>
  </sheetViews>
  <sheetFormatPr defaultColWidth="8.7109375" defaultRowHeight="15.75" x14ac:dyDescent="0.25"/>
  <cols>
    <col min="1" max="1" width="5.42578125" style="1" customWidth="1"/>
    <col min="2" max="2" width="40" style="1" bestFit="1" customWidth="1"/>
    <col min="3" max="3" width="14.7109375" style="1" customWidth="1"/>
    <col min="4" max="4" width="13.42578125" style="1" bestFit="1" customWidth="1"/>
    <col min="5" max="5" width="9.140625" style="1" bestFit="1" customWidth="1"/>
    <col min="6" max="6" width="9" style="1" customWidth="1"/>
    <col min="7" max="7" width="5" style="1" customWidth="1"/>
    <col min="8" max="8" width="23.140625" style="1" customWidth="1"/>
    <col min="9" max="9" width="22.85546875" style="1" bestFit="1" customWidth="1"/>
    <col min="10" max="10" width="25.28515625" style="1" bestFit="1" customWidth="1"/>
    <col min="11" max="11" width="11.7109375" style="1" customWidth="1"/>
    <col min="12" max="12" width="7.42578125" style="1" bestFit="1" customWidth="1"/>
    <col min="13" max="13" width="9.140625" style="1" bestFit="1" customWidth="1"/>
    <col min="14" max="14" width="9.42578125" style="1" bestFit="1" customWidth="1"/>
    <col min="15" max="15" width="22.140625" style="1" bestFit="1" customWidth="1"/>
    <col min="16" max="16384" width="8.7109375" style="1"/>
  </cols>
  <sheetData>
    <row r="1" spans="2:10" ht="6" customHeight="1" thickBot="1" x14ac:dyDescent="0.3"/>
    <row r="2" spans="2:10" ht="23.25" thickBot="1" x14ac:dyDescent="0.35">
      <c r="B2" s="63" t="s">
        <v>90</v>
      </c>
      <c r="C2" s="64"/>
      <c r="D2" s="64"/>
      <c r="E2" s="64"/>
      <c r="F2" s="64"/>
      <c r="G2" s="64"/>
      <c r="H2" s="65">
        <f>SUM(H15,H56,H88)</f>
        <v>65105.760514285721</v>
      </c>
    </row>
    <row r="3" spans="2:10" ht="16.5" thickBot="1" x14ac:dyDescent="0.3"/>
    <row r="4" spans="2:10" ht="23.25" thickBot="1" x14ac:dyDescent="0.3">
      <c r="B4" s="56" t="s">
        <v>66</v>
      </c>
      <c r="C4" s="42" t="s">
        <v>5</v>
      </c>
      <c r="D4" s="19" t="s">
        <v>19</v>
      </c>
      <c r="E4" s="42" t="s">
        <v>6</v>
      </c>
      <c r="F4" s="42" t="s">
        <v>51</v>
      </c>
      <c r="G4" s="42"/>
      <c r="H4" s="43" t="s">
        <v>72</v>
      </c>
    </row>
    <row r="5" spans="2:10" x14ac:dyDescent="0.25">
      <c r="B5" s="16"/>
      <c r="C5" s="5"/>
      <c r="D5" s="5"/>
      <c r="E5" s="5"/>
      <c r="F5" s="5"/>
      <c r="G5" s="5"/>
      <c r="H5" s="22"/>
    </row>
    <row r="6" spans="2:10" x14ac:dyDescent="0.25">
      <c r="B6" s="14" t="s">
        <v>27</v>
      </c>
      <c r="C6" s="5">
        <f>'Production Parameters'!C9</f>
        <v>40</v>
      </c>
      <c r="D6" s="5" t="s">
        <v>34</v>
      </c>
      <c r="E6" s="233">
        <v>200</v>
      </c>
      <c r="F6" s="5" t="s">
        <v>34</v>
      </c>
      <c r="G6" s="5"/>
      <c r="H6" s="24">
        <f>IF(C6="N/A","",C6*E6)</f>
        <v>8000</v>
      </c>
    </row>
    <row r="7" spans="2:10" x14ac:dyDescent="0.25">
      <c r="B7" s="14" t="s">
        <v>138</v>
      </c>
      <c r="C7" s="114">
        <f>'Production Parameters'!C18</f>
        <v>1</v>
      </c>
      <c r="D7" s="5" t="s">
        <v>34</v>
      </c>
      <c r="E7" s="233">
        <v>400</v>
      </c>
      <c r="F7" s="5" t="s">
        <v>34</v>
      </c>
      <c r="G7" s="5"/>
      <c r="H7" s="24">
        <f>IF(C7="N/A","",C7*E7)</f>
        <v>400</v>
      </c>
    </row>
    <row r="8" spans="2:10" x14ac:dyDescent="0.25">
      <c r="B8" s="14" t="s">
        <v>36</v>
      </c>
      <c r="C8" s="5" t="str">
        <f>IF('Production Parameters'!C35=0, "", 'Production Parameters'!C35)</f>
        <v/>
      </c>
      <c r="D8" s="5" t="s">
        <v>34</v>
      </c>
      <c r="E8" s="233"/>
      <c r="F8" s="5" t="s">
        <v>34</v>
      </c>
      <c r="G8" s="5"/>
      <c r="H8" s="52" t="str">
        <f>IF(C8="","",C8*E8)</f>
        <v/>
      </c>
      <c r="I8" s="80"/>
      <c r="J8" s="81"/>
    </row>
    <row r="9" spans="2:10" x14ac:dyDescent="0.25">
      <c r="B9" s="16" t="s">
        <v>82</v>
      </c>
      <c r="C9" s="5"/>
      <c r="D9" s="5"/>
      <c r="E9" s="83"/>
      <c r="F9" s="5"/>
      <c r="G9" s="5"/>
      <c r="H9" s="77"/>
      <c r="I9" s="80"/>
      <c r="J9" s="81"/>
    </row>
    <row r="10" spans="2:10" x14ac:dyDescent="0.25">
      <c r="B10" s="18" t="s">
        <v>82</v>
      </c>
      <c r="C10" s="223"/>
      <c r="D10" s="5" t="s">
        <v>85</v>
      </c>
      <c r="E10" s="233"/>
      <c r="F10" s="5" t="s">
        <v>85</v>
      </c>
      <c r="G10" s="5"/>
      <c r="H10" s="24" t="str">
        <f>IF(C10="","",C10*E10)</f>
        <v/>
      </c>
      <c r="I10" s="81"/>
      <c r="J10" s="81"/>
    </row>
    <row r="11" spans="2:10" x14ac:dyDescent="0.25">
      <c r="B11" s="18" t="s">
        <v>82</v>
      </c>
      <c r="C11" s="223"/>
      <c r="D11" s="5" t="s">
        <v>85</v>
      </c>
      <c r="E11" s="233"/>
      <c r="F11" s="5" t="s">
        <v>85</v>
      </c>
      <c r="G11" s="5"/>
      <c r="H11" s="52" t="str">
        <f>IF(C11="","",C11*E11)</f>
        <v/>
      </c>
    </row>
    <row r="12" spans="2:10" x14ac:dyDescent="0.25">
      <c r="B12" s="18" t="s">
        <v>82</v>
      </c>
      <c r="C12" s="223"/>
      <c r="D12" s="5" t="s">
        <v>85</v>
      </c>
      <c r="E12" s="233"/>
      <c r="F12" s="5" t="s">
        <v>85</v>
      </c>
      <c r="G12" s="5"/>
      <c r="H12" s="52" t="str">
        <f>IF(C12="","",C12*E12)</f>
        <v/>
      </c>
    </row>
    <row r="13" spans="2:10" x14ac:dyDescent="0.25">
      <c r="B13" s="14" t="s">
        <v>86</v>
      </c>
      <c r="C13" s="5"/>
      <c r="D13" s="5"/>
      <c r="E13" s="76"/>
      <c r="F13" s="5"/>
      <c r="G13" s="5"/>
      <c r="H13" s="77" t="str">
        <f>IF(SUM(H10:H12)=0, "", SUM(H10:H12))</f>
        <v/>
      </c>
    </row>
    <row r="14" spans="2:10" x14ac:dyDescent="0.25">
      <c r="B14" s="14"/>
      <c r="C14" s="5"/>
      <c r="D14" s="5"/>
      <c r="E14" s="76"/>
      <c r="F14" s="5"/>
      <c r="G14" s="5"/>
      <c r="H14" s="77"/>
    </row>
    <row r="15" spans="2:10" ht="16.5" thickBot="1" x14ac:dyDescent="0.3">
      <c r="B15" s="16" t="s">
        <v>83</v>
      </c>
      <c r="C15" s="5"/>
      <c r="D15" s="5"/>
      <c r="E15" s="76"/>
      <c r="F15" s="5"/>
      <c r="G15" s="5"/>
      <c r="H15" s="79">
        <f>SUM(H6:H8,H13)</f>
        <v>8400</v>
      </c>
    </row>
    <row r="16" spans="2:10" ht="17.25" thickTop="1" thickBot="1" x14ac:dyDescent="0.3">
      <c r="B16" s="32"/>
      <c r="C16" s="6"/>
      <c r="D16" s="6"/>
      <c r="E16" s="6"/>
      <c r="F16" s="6"/>
      <c r="G16" s="6"/>
      <c r="H16" s="26"/>
    </row>
    <row r="17" spans="2:8" ht="16.5" thickBot="1" x14ac:dyDescent="0.3"/>
    <row r="18" spans="2:8" ht="48" thickBot="1" x14ac:dyDescent="0.3">
      <c r="B18" s="56" t="s">
        <v>67</v>
      </c>
      <c r="C18" s="51" t="s">
        <v>50</v>
      </c>
      <c r="D18" s="19" t="s">
        <v>19</v>
      </c>
      <c r="E18" s="42" t="s">
        <v>6</v>
      </c>
      <c r="F18" s="42" t="s">
        <v>51</v>
      </c>
      <c r="G18" s="42"/>
      <c r="H18" s="43" t="s">
        <v>72</v>
      </c>
    </row>
    <row r="19" spans="2:8" x14ac:dyDescent="0.25">
      <c r="B19" s="15"/>
      <c r="C19" s="5"/>
      <c r="D19" s="5"/>
      <c r="E19" s="5"/>
      <c r="F19" s="5"/>
      <c r="G19" s="5"/>
      <c r="H19" s="11"/>
    </row>
    <row r="20" spans="2:8" x14ac:dyDescent="0.25">
      <c r="B20" s="16" t="s">
        <v>48</v>
      </c>
      <c r="C20" s="5"/>
      <c r="D20" s="5"/>
      <c r="E20" s="5"/>
      <c r="F20" s="5"/>
      <c r="G20" s="5"/>
      <c r="H20" s="11"/>
    </row>
    <row r="21" spans="2:8" x14ac:dyDescent="0.25">
      <c r="B21" s="14" t="str">
        <f>'Production Parameters'!G6</f>
        <v>Grass Hay</v>
      </c>
      <c r="C21" s="223"/>
      <c r="D21" s="5" t="str">
        <f>'Production Parameters'!J6</f>
        <v>pounds</v>
      </c>
      <c r="E21" s="30">
        <f>'Production Parameters'!L6</f>
        <v>0.05</v>
      </c>
      <c r="F21" s="5" t="str">
        <f>'Production Parameters'!J6</f>
        <v>pounds</v>
      </c>
      <c r="G21" s="5"/>
      <c r="H21" s="24" t="str">
        <f>IF(C21 = 0, "", C21 * E21*'Production Parameters'!$C$5)</f>
        <v/>
      </c>
    </row>
    <row r="22" spans="2:8" x14ac:dyDescent="0.25">
      <c r="B22" s="14" t="str">
        <f>'Production Parameters'!G7</f>
        <v>Alfalfa Hay</v>
      </c>
      <c r="C22" s="223">
        <v>210</v>
      </c>
      <c r="D22" s="5" t="str">
        <f>'Production Parameters'!J7</f>
        <v>pounds</v>
      </c>
      <c r="E22" s="30">
        <f>'Production Parameters'!L7</f>
        <v>7.4999999999999997E-2</v>
      </c>
      <c r="F22" s="5" t="str">
        <f>'Production Parameters'!J7</f>
        <v>pounds</v>
      </c>
      <c r="G22" s="5"/>
      <c r="H22" s="24">
        <f>IF(C22 = 0, "", C22 * E22*'Production Parameters'!$C$5)</f>
        <v>3937.5</v>
      </c>
    </row>
    <row r="23" spans="2:8" x14ac:dyDescent="0.25">
      <c r="B23" s="14" t="str">
        <f>'Production Parameters'!G8</f>
        <v>Salt &amp; Mineral</v>
      </c>
      <c r="C23" s="223">
        <v>4</v>
      </c>
      <c r="D23" s="5" t="str">
        <f>'Production Parameters'!J8</f>
        <v>pounds</v>
      </c>
      <c r="E23" s="30">
        <f>'Production Parameters'!L8</f>
        <v>0.56000000000000005</v>
      </c>
      <c r="F23" s="5" t="str">
        <f>'Production Parameters'!J8</f>
        <v>pounds</v>
      </c>
      <c r="G23" s="5"/>
      <c r="H23" s="24">
        <f>IF(C23 = 0, "", C23 * E23*'Production Parameters'!$C$5)</f>
        <v>560</v>
      </c>
    </row>
    <row r="24" spans="2:8" x14ac:dyDescent="0.25">
      <c r="B24" s="14" t="str">
        <f>'Production Parameters'!G9</f>
        <v>Pasture</v>
      </c>
      <c r="C24" s="223">
        <v>1.5</v>
      </c>
      <c r="D24" s="5" t="str">
        <f>'Production Parameters'!J9</f>
        <v>AUM</v>
      </c>
      <c r="E24" s="30">
        <f>'Production Parameters'!L9</f>
        <v>43</v>
      </c>
      <c r="F24" s="5" t="str">
        <f>'Production Parameters'!J9</f>
        <v>AUM</v>
      </c>
      <c r="G24" s="5"/>
      <c r="H24" s="24">
        <f>IF(C24 = 0, "", C24 * E24*'Production Parameters'!$C$5)</f>
        <v>16125</v>
      </c>
    </row>
    <row r="25" spans="2:8" x14ac:dyDescent="0.25">
      <c r="B25" s="14" t="str">
        <f>'Production Parameters'!G10</f>
        <v>Corn</v>
      </c>
      <c r="C25" s="223">
        <v>200</v>
      </c>
      <c r="D25" s="5" t="str">
        <f>'Production Parameters'!J10</f>
        <v>pounds</v>
      </c>
      <c r="E25" s="30">
        <f>'Production Parameters'!L10</f>
        <v>9.8214285714285712E-2</v>
      </c>
      <c r="F25" s="5" t="str">
        <f>'Production Parameters'!J10</f>
        <v>pounds</v>
      </c>
      <c r="G25" s="5"/>
      <c r="H25" s="24">
        <f>IF(C25 = 0, "", C25 * E25*'Production Parameters'!$C$5)</f>
        <v>4910.7142857142853</v>
      </c>
    </row>
    <row r="26" spans="2:8" x14ac:dyDescent="0.25">
      <c r="B26" s="14" t="s">
        <v>4</v>
      </c>
      <c r="C26" s="223"/>
      <c r="D26" s="5" t="s">
        <v>29</v>
      </c>
      <c r="E26" s="235"/>
      <c r="F26" s="5" t="s">
        <v>29</v>
      </c>
      <c r="G26" s="5"/>
      <c r="H26" s="24" t="str">
        <f>IF(C26*E26=0,"",C26*E26)</f>
        <v/>
      </c>
    </row>
    <row r="27" spans="2:8" x14ac:dyDescent="0.25">
      <c r="B27" s="16" t="s">
        <v>49</v>
      </c>
      <c r="C27" s="5"/>
      <c r="D27" s="5"/>
      <c r="E27" s="5"/>
      <c r="F27" s="5"/>
      <c r="G27" s="5"/>
      <c r="H27" s="11"/>
    </row>
    <row r="28" spans="2:8" x14ac:dyDescent="0.25">
      <c r="B28" s="14" t="str">
        <f>'Production Parameters'!G6</f>
        <v>Grass Hay</v>
      </c>
      <c r="C28" s="223">
        <v>200</v>
      </c>
      <c r="D28" s="5" t="str">
        <f>'Production Parameters'!J6</f>
        <v>pounds</v>
      </c>
      <c r="E28" s="30">
        <f>'Production Parameters'!L6</f>
        <v>0.05</v>
      </c>
      <c r="F28" s="5" t="str">
        <f>'Production Parameters'!J6</f>
        <v>pounds</v>
      </c>
      <c r="G28" s="5"/>
      <c r="H28" s="24">
        <f>IF(C28 = "", "", C28 * E28 * 'Production Parameters'!$C$14)</f>
        <v>50</v>
      </c>
    </row>
    <row r="29" spans="2:8" x14ac:dyDescent="0.25">
      <c r="B29" s="14" t="str">
        <f>'Production Parameters'!G7</f>
        <v>Alfalfa Hay</v>
      </c>
      <c r="C29" s="223">
        <v>200</v>
      </c>
      <c r="D29" s="5" t="str">
        <f>'Production Parameters'!J7</f>
        <v>pounds</v>
      </c>
      <c r="E29" s="30">
        <f>'Production Parameters'!L7</f>
        <v>7.4999999999999997E-2</v>
      </c>
      <c r="F29" s="5" t="str">
        <f>'Production Parameters'!J7</f>
        <v>pounds</v>
      </c>
      <c r="G29" s="5"/>
      <c r="H29" s="24">
        <f>IF(C29 = "", "", C29 * E29 * 'Production Parameters'!$C$14)</f>
        <v>75</v>
      </c>
    </row>
    <row r="30" spans="2:8" x14ac:dyDescent="0.25">
      <c r="B30" s="14" t="str">
        <f>'Production Parameters'!G8</f>
        <v>Salt &amp; Mineral</v>
      </c>
      <c r="C30" s="228">
        <v>31.25</v>
      </c>
      <c r="D30" s="28" t="str">
        <f>'Production Parameters'!J8</f>
        <v>pounds</v>
      </c>
      <c r="E30" s="31">
        <f>'Production Parameters'!L8</f>
        <v>0.56000000000000005</v>
      </c>
      <c r="F30" s="28" t="str">
        <f>'Production Parameters'!J8</f>
        <v>pounds</v>
      </c>
      <c r="G30" s="28"/>
      <c r="H30" s="29">
        <f>IF(C30 = "", "", C30 * E30*'Production Parameters'!C14)</f>
        <v>87.5</v>
      </c>
    </row>
    <row r="31" spans="2:8" x14ac:dyDescent="0.25">
      <c r="B31" s="14" t="str">
        <f>'Production Parameters'!G9</f>
        <v>Pasture</v>
      </c>
      <c r="C31" s="232">
        <v>0.4</v>
      </c>
      <c r="D31" s="5" t="str">
        <f>'Production Parameters'!J9</f>
        <v>AUM</v>
      </c>
      <c r="E31" s="30">
        <f>'Production Parameters'!L9</f>
        <v>43</v>
      </c>
      <c r="F31" s="5" t="str">
        <f>'Production Parameters'!J9</f>
        <v>AUM</v>
      </c>
      <c r="G31" s="5"/>
      <c r="H31" s="24">
        <f>IF(C31 = "", "", C31 * E31 * 'Production Parameters'!$C$14)</f>
        <v>86</v>
      </c>
    </row>
    <row r="32" spans="2:8" x14ac:dyDescent="0.25">
      <c r="B32" s="14" t="str">
        <f>'Production Parameters'!G10</f>
        <v>Corn</v>
      </c>
      <c r="C32" s="223"/>
      <c r="D32" s="5" t="str">
        <f>'Production Parameters'!J10</f>
        <v>pounds</v>
      </c>
      <c r="E32" s="30">
        <f>'Production Parameters'!L10</f>
        <v>9.8214285714285712E-2</v>
      </c>
      <c r="F32" s="5" t="str">
        <f>'Production Parameters'!J10</f>
        <v>pounds</v>
      </c>
      <c r="G32" s="5"/>
      <c r="H32" s="24" t="str">
        <f>IF(C32 = "", "", C32 * E32 * 'Production Parameters'!$C$14)</f>
        <v/>
      </c>
    </row>
    <row r="33" spans="2:8" x14ac:dyDescent="0.25">
      <c r="B33" s="14" t="s">
        <v>4</v>
      </c>
      <c r="C33" s="223"/>
      <c r="D33" s="5" t="s">
        <v>29</v>
      </c>
      <c r="E33" s="235"/>
      <c r="F33" s="5" t="s">
        <v>29</v>
      </c>
      <c r="G33" s="5"/>
      <c r="H33" s="24" t="str">
        <f>IF(C33 = "", "", C33 * E33 * 'Production Parameters'!$C$14)</f>
        <v/>
      </c>
    </row>
    <row r="34" spans="2:8" x14ac:dyDescent="0.25">
      <c r="B34" s="16" t="s">
        <v>166</v>
      </c>
      <c r="C34" s="5"/>
      <c r="D34" s="5"/>
      <c r="E34" s="5"/>
      <c r="F34" s="5"/>
      <c r="G34" s="5"/>
      <c r="H34" s="11"/>
    </row>
    <row r="35" spans="2:8" x14ac:dyDescent="0.25">
      <c r="B35" s="14" t="str">
        <f>'Production Parameters'!G6</f>
        <v>Grass Hay</v>
      </c>
      <c r="C35" s="223"/>
      <c r="D35" s="5" t="str">
        <f>'Production Parameters'!J6</f>
        <v>pounds</v>
      </c>
      <c r="E35" s="30">
        <f>'Production Parameters'!L6</f>
        <v>0.05</v>
      </c>
      <c r="F35" s="5" t="str">
        <f>'Production Parameters'!J6</f>
        <v>pounds</v>
      </c>
      <c r="G35" s="5"/>
      <c r="H35" s="24" t="str">
        <f>IF(C35=0,"",C35*E35*'Production Parameters'!$C$26)</f>
        <v/>
      </c>
    </row>
    <row r="36" spans="2:8" x14ac:dyDescent="0.25">
      <c r="B36" s="14" t="str">
        <f>'Production Parameters'!G7</f>
        <v>Alfalfa Hay</v>
      </c>
      <c r="C36" s="223"/>
      <c r="D36" s="5" t="str">
        <f>'Production Parameters'!J7</f>
        <v>pounds</v>
      </c>
      <c r="E36" s="30">
        <f>'Production Parameters'!L7</f>
        <v>7.4999999999999997E-2</v>
      </c>
      <c r="F36" s="5" t="str">
        <f>'Production Parameters'!J7</f>
        <v>pounds</v>
      </c>
      <c r="G36" s="5"/>
      <c r="H36" s="24" t="str">
        <f>IF(C36=0,"",C36*E36*'Production Parameters'!$C$26)</f>
        <v/>
      </c>
    </row>
    <row r="37" spans="2:8" x14ac:dyDescent="0.25">
      <c r="B37" s="14" t="str">
        <f>'Production Parameters'!G8</f>
        <v>Salt &amp; Mineral</v>
      </c>
      <c r="C37" s="223"/>
      <c r="D37" s="5" t="str">
        <f>'Production Parameters'!J8</f>
        <v>pounds</v>
      </c>
      <c r="E37" s="30">
        <f>'Production Parameters'!L8</f>
        <v>0.56000000000000005</v>
      </c>
      <c r="F37" s="5" t="str">
        <f>'Production Parameters'!J8</f>
        <v>pounds</v>
      </c>
      <c r="G37" s="5"/>
      <c r="H37" s="24" t="str">
        <f>IF(C37=0,"",C37*E37*'Production Parameters'!$C$26)</f>
        <v/>
      </c>
    </row>
    <row r="38" spans="2:8" x14ac:dyDescent="0.25">
      <c r="B38" s="14" t="str">
        <f>'Production Parameters'!G9</f>
        <v>Pasture</v>
      </c>
      <c r="C38" s="223"/>
      <c r="D38" s="5" t="str">
        <f>'Production Parameters'!J9</f>
        <v>AUM</v>
      </c>
      <c r="E38" s="30">
        <f>'Production Parameters'!L9</f>
        <v>43</v>
      </c>
      <c r="F38" s="5" t="str">
        <f>'Production Parameters'!J9</f>
        <v>AUM</v>
      </c>
      <c r="G38" s="5"/>
      <c r="H38" s="24" t="str">
        <f>IF(C38=0,"",C38*E38*'Production Parameters'!$C$26)</f>
        <v/>
      </c>
    </row>
    <row r="39" spans="2:8" x14ac:dyDescent="0.25">
      <c r="B39" s="14" t="str">
        <f>'Production Parameters'!G10</f>
        <v>Corn</v>
      </c>
      <c r="C39" s="223"/>
      <c r="D39" s="5" t="str">
        <f>'Production Parameters'!J10</f>
        <v>pounds</v>
      </c>
      <c r="E39" s="30">
        <f>'Production Parameters'!L10</f>
        <v>9.8214285714285712E-2</v>
      </c>
      <c r="F39" s="5" t="str">
        <f>'Production Parameters'!J10</f>
        <v>pounds</v>
      </c>
      <c r="G39" s="5"/>
      <c r="H39" s="24" t="str">
        <f>IF(C39=0,"",C39*E39*'Production Parameters'!$C$26)</f>
        <v/>
      </c>
    </row>
    <row r="40" spans="2:8" x14ac:dyDescent="0.25">
      <c r="B40" s="14" t="str">
        <f>'Production Parameters'!G11</f>
        <v>Creep Feed for baby lambs</v>
      </c>
      <c r="C40" s="228">
        <v>30</v>
      </c>
      <c r="D40" s="28" t="s">
        <v>55</v>
      </c>
      <c r="E40" s="31">
        <f>'Production Parameters'!H11</f>
        <v>0.2</v>
      </c>
      <c r="F40" s="28" t="str">
        <f>'Production Parameters'!J11</f>
        <v>day</v>
      </c>
      <c r="G40" s="28"/>
      <c r="H40" s="24">
        <f>IF(C40=0,"",C40*E40*'Production Parameters'!$C$26)</f>
        <v>1974</v>
      </c>
    </row>
    <row r="41" spans="2:8" x14ac:dyDescent="0.25">
      <c r="B41" s="14" t="s">
        <v>4</v>
      </c>
      <c r="C41" s="228"/>
      <c r="D41" s="28" t="s">
        <v>29</v>
      </c>
      <c r="E41" s="234"/>
      <c r="F41" s="28" t="s">
        <v>29</v>
      </c>
      <c r="G41" s="28"/>
      <c r="H41" s="24" t="str">
        <f>IF(C41=0,"",C41*E41*'Production Parameters'!$C$26)</f>
        <v/>
      </c>
    </row>
    <row r="42" spans="2:8" x14ac:dyDescent="0.25">
      <c r="B42" s="141" t="s">
        <v>167</v>
      </c>
      <c r="C42" s="28"/>
      <c r="D42" s="28"/>
      <c r="E42" s="31"/>
      <c r="F42" s="28"/>
      <c r="G42" s="28"/>
      <c r="H42" s="86"/>
    </row>
    <row r="43" spans="2:8" x14ac:dyDescent="0.25">
      <c r="B43" s="14" t="str">
        <f>'Production Parameters'!G6</f>
        <v>Grass Hay</v>
      </c>
      <c r="C43" s="165">
        <f>'Production Parameters'!C46</f>
        <v>162</v>
      </c>
      <c r="D43" s="28" t="str">
        <f>'Production Parameters'!J6</f>
        <v>pounds</v>
      </c>
      <c r="E43" s="31">
        <f>'Production Parameters'!L6</f>
        <v>0.05</v>
      </c>
      <c r="F43" s="28" t="str">
        <f>'Production Parameters'!J6</f>
        <v>pounds</v>
      </c>
      <c r="G43" s="28"/>
      <c r="H43" s="24">
        <f>IF(C43=0,"",C43*E43*'Production Parameters'!$C$36)</f>
        <v>2583.9</v>
      </c>
    </row>
    <row r="44" spans="2:8" x14ac:dyDescent="0.25">
      <c r="B44" s="14" t="str">
        <f>'Production Parameters'!G7</f>
        <v>Alfalfa Hay</v>
      </c>
      <c r="C44" s="228"/>
      <c r="D44" s="28" t="str">
        <f>'Production Parameters'!J7</f>
        <v>pounds</v>
      </c>
      <c r="E44" s="31">
        <f>'Production Parameters'!L7</f>
        <v>7.4999999999999997E-2</v>
      </c>
      <c r="F44" s="28" t="str">
        <f>'Production Parameters'!J7</f>
        <v>pounds</v>
      </c>
      <c r="G44" s="28"/>
      <c r="H44" s="24" t="str">
        <f>IF(C44=0,"",C44*E44*'Production Parameters'!$C$36)</f>
        <v/>
      </c>
    </row>
    <row r="45" spans="2:8" x14ac:dyDescent="0.25">
      <c r="B45" s="14" t="str">
        <f>'Production Parameters'!G8</f>
        <v>Salt &amp; Mineral</v>
      </c>
      <c r="C45" s="228"/>
      <c r="D45" s="28" t="str">
        <f>'Production Parameters'!J8</f>
        <v>pounds</v>
      </c>
      <c r="E45" s="31">
        <f>'Production Parameters'!L8</f>
        <v>0.56000000000000005</v>
      </c>
      <c r="F45" s="28" t="str">
        <f>'Production Parameters'!J8</f>
        <v>pounds</v>
      </c>
      <c r="G45" s="28"/>
      <c r="H45" s="24" t="str">
        <f>IF(C45=0,"",C45*E45*'Production Parameters'!$C$36)</f>
        <v/>
      </c>
    </row>
    <row r="46" spans="2:8" x14ac:dyDescent="0.25">
      <c r="B46" s="14" t="str">
        <f>'Production Parameters'!G9</f>
        <v>Pasture</v>
      </c>
      <c r="C46" s="228"/>
      <c r="D46" s="28" t="str">
        <f>'Production Parameters'!J9</f>
        <v>AUM</v>
      </c>
      <c r="E46" s="31">
        <f>'Production Parameters'!L9</f>
        <v>43</v>
      </c>
      <c r="F46" s="28" t="str">
        <f>'Production Parameters'!J9</f>
        <v>AUM</v>
      </c>
      <c r="G46" s="28"/>
      <c r="H46" s="24" t="str">
        <f>IF(C46=0,"",C46*E46*'Production Parameters'!$C$36)</f>
        <v/>
      </c>
    </row>
    <row r="47" spans="2:8" x14ac:dyDescent="0.25">
      <c r="B47" s="14" t="str">
        <f>'Production Parameters'!G10</f>
        <v>Corn</v>
      </c>
      <c r="C47" s="166">
        <f>'Production Parameters'!C44</f>
        <v>130</v>
      </c>
      <c r="D47" s="28" t="str">
        <f>'Production Parameters'!J10</f>
        <v>pounds</v>
      </c>
      <c r="E47" s="31">
        <f>'Production Parameters'!L10</f>
        <v>9.8214285714285712E-2</v>
      </c>
      <c r="F47" s="28" t="str">
        <f>'Production Parameters'!J10</f>
        <v>pounds</v>
      </c>
      <c r="G47" s="28"/>
      <c r="H47" s="24">
        <f>IF(C47=0,"",C47*E47*'Production Parameters'!$C$36)</f>
        <v>4072.9464285714284</v>
      </c>
    </row>
    <row r="48" spans="2:8" x14ac:dyDescent="0.25">
      <c r="B48" s="14" t="str">
        <f>'Production Parameters'!B45</f>
        <v>34% protein supplement</v>
      </c>
      <c r="C48" s="165">
        <f>'Production Parameters'!C45</f>
        <v>29</v>
      </c>
      <c r="D48" s="28" t="s">
        <v>29</v>
      </c>
      <c r="E48" s="167">
        <f>'Production Parameters'!L12</f>
        <v>0.43979999999999997</v>
      </c>
      <c r="F48" s="28" t="s">
        <v>29</v>
      </c>
      <c r="G48" s="28"/>
      <c r="H48" s="24">
        <f>IF(C48=0,"",C48*E48*'Production Parameters'!$C$36)</f>
        <v>4068.5897999999997</v>
      </c>
    </row>
    <row r="49" spans="2:8" x14ac:dyDescent="0.25">
      <c r="B49" s="14" t="s">
        <v>4</v>
      </c>
      <c r="C49" s="228"/>
      <c r="D49" s="28" t="s">
        <v>29</v>
      </c>
      <c r="E49" s="234"/>
      <c r="F49" s="28" t="s">
        <v>29</v>
      </c>
      <c r="G49" s="28"/>
      <c r="H49" s="24" t="str">
        <f>IF(C49=0,"",C49*E49*'Production Parameters'!$C$36)</f>
        <v/>
      </c>
    </row>
    <row r="50" spans="2:8" x14ac:dyDescent="0.25">
      <c r="B50" s="14" t="s">
        <v>4</v>
      </c>
      <c r="C50" s="228"/>
      <c r="D50" s="28" t="s">
        <v>29</v>
      </c>
      <c r="E50" s="234"/>
      <c r="F50" s="28" t="s">
        <v>29</v>
      </c>
      <c r="G50" s="28"/>
      <c r="H50" s="24" t="str">
        <f>IF(C50=0,"",C50*E50*'Production Parameters'!$C$36)</f>
        <v/>
      </c>
    </row>
    <row r="51" spans="2:8" x14ac:dyDescent="0.25">
      <c r="B51" s="16" t="s">
        <v>87</v>
      </c>
      <c r="C51" s="23"/>
      <c r="D51" s="23"/>
      <c r="E51" s="37"/>
      <c r="F51" s="23"/>
      <c r="G51" s="23"/>
      <c r="H51" s="82"/>
    </row>
    <row r="52" spans="2:8" x14ac:dyDescent="0.25">
      <c r="B52" s="18" t="s">
        <v>87</v>
      </c>
      <c r="C52" s="228"/>
      <c r="D52" s="28" t="s">
        <v>85</v>
      </c>
      <c r="E52" s="234"/>
      <c r="F52" s="28" t="s">
        <v>85</v>
      </c>
      <c r="G52" s="23"/>
      <c r="H52" s="29" t="str">
        <f>IF(C52*E52=0,"",C52*E52)</f>
        <v/>
      </c>
    </row>
    <row r="53" spans="2:8" x14ac:dyDescent="0.25">
      <c r="B53" s="18" t="s">
        <v>87</v>
      </c>
      <c r="C53" s="228"/>
      <c r="D53" s="28" t="s">
        <v>85</v>
      </c>
      <c r="E53" s="234"/>
      <c r="F53" s="28" t="s">
        <v>85</v>
      </c>
      <c r="G53" s="23"/>
      <c r="H53" s="85"/>
    </row>
    <row r="54" spans="2:8" x14ac:dyDescent="0.25">
      <c r="B54" s="18" t="s">
        <v>87</v>
      </c>
      <c r="C54" s="228"/>
      <c r="D54" s="28" t="s">
        <v>85</v>
      </c>
      <c r="E54" s="234"/>
      <c r="F54" s="28" t="s">
        <v>85</v>
      </c>
      <c r="G54" s="23"/>
      <c r="H54" s="29"/>
    </row>
    <row r="55" spans="2:8" x14ac:dyDescent="0.25">
      <c r="B55" s="14"/>
      <c r="C55" s="28"/>
      <c r="D55" s="28"/>
      <c r="E55" s="31"/>
      <c r="F55" s="28"/>
      <c r="G55" s="23"/>
      <c r="H55" s="86"/>
    </row>
    <row r="56" spans="2:8" ht="16.5" thickBot="1" x14ac:dyDescent="0.3">
      <c r="B56" s="84" t="s">
        <v>88</v>
      </c>
      <c r="C56" s="23"/>
      <c r="D56" s="23"/>
      <c r="E56" s="37"/>
      <c r="F56" s="23"/>
      <c r="G56" s="23"/>
      <c r="H56" s="89">
        <f>SUM(H21:H54)</f>
        <v>38531.15051428572</v>
      </c>
    </row>
    <row r="57" spans="2:8" ht="17.25" thickTop="1" thickBot="1" x14ac:dyDescent="0.3">
      <c r="B57" s="36"/>
      <c r="C57" s="6"/>
      <c r="D57" s="6"/>
      <c r="E57" s="6"/>
      <c r="F57" s="6"/>
      <c r="G57" s="6"/>
      <c r="H57" s="12"/>
    </row>
    <row r="58" spans="2:8" ht="16.5" thickBot="1" x14ac:dyDescent="0.3"/>
    <row r="59" spans="2:8" ht="32.25" thickBot="1" x14ac:dyDescent="0.3">
      <c r="B59" s="56" t="s">
        <v>108</v>
      </c>
      <c r="C59" s="213" t="s">
        <v>69</v>
      </c>
      <c r="D59" s="19" t="s">
        <v>70</v>
      </c>
      <c r="E59" s="42" t="s">
        <v>6</v>
      </c>
      <c r="F59" s="213" t="s">
        <v>65</v>
      </c>
      <c r="G59" s="42"/>
      <c r="H59" s="43" t="s">
        <v>72</v>
      </c>
    </row>
    <row r="60" spans="2:8" x14ac:dyDescent="0.25">
      <c r="B60" s="16" t="s">
        <v>68</v>
      </c>
      <c r="C60" s="5"/>
      <c r="D60" s="5"/>
      <c r="E60" s="5"/>
      <c r="F60" s="5"/>
      <c r="G60" s="5"/>
      <c r="H60" s="11"/>
    </row>
    <row r="61" spans="2:8" x14ac:dyDescent="0.25">
      <c r="B61" s="14" t="s">
        <v>59</v>
      </c>
      <c r="C61" s="28">
        <f>'Production Parameters'!C5</f>
        <v>250</v>
      </c>
      <c r="D61" s="5" t="str">
        <f>'Production Parameters'!D5</f>
        <v>ewes</v>
      </c>
      <c r="E61" s="237">
        <v>5</v>
      </c>
      <c r="F61" s="5" t="s">
        <v>63</v>
      </c>
      <c r="G61" s="5"/>
      <c r="H61" s="40">
        <f>IF(C61*E61=0,"",C61*E61)</f>
        <v>1250</v>
      </c>
    </row>
    <row r="62" spans="2:8" x14ac:dyDescent="0.25">
      <c r="B62" s="14" t="s">
        <v>62</v>
      </c>
      <c r="C62" s="28">
        <f>'Production Parameters'!C14</f>
        <v>5</v>
      </c>
      <c r="D62" s="5" t="str">
        <f>'Production Parameters'!D14</f>
        <v>ram(s)</v>
      </c>
      <c r="E62" s="237">
        <v>10</v>
      </c>
      <c r="F62" s="5" t="s">
        <v>64</v>
      </c>
      <c r="G62" s="5"/>
      <c r="H62" s="40">
        <f>IF(C62*E62=0,"",C62*E62)</f>
        <v>50</v>
      </c>
    </row>
    <row r="63" spans="2:8" x14ac:dyDescent="0.25">
      <c r="B63" s="14" t="s">
        <v>104</v>
      </c>
      <c r="C63" s="236"/>
      <c r="D63" s="5" t="s">
        <v>84</v>
      </c>
      <c r="E63" s="237"/>
      <c r="F63" s="5" t="s">
        <v>105</v>
      </c>
      <c r="G63" s="5"/>
      <c r="H63" s="40" t="str">
        <f>IF(C63*E63=0,"",C63*E63)</f>
        <v/>
      </c>
    </row>
    <row r="64" spans="2:8" x14ac:dyDescent="0.25">
      <c r="B64" s="16" t="s">
        <v>98</v>
      </c>
      <c r="C64" s="23"/>
      <c r="D64" s="5"/>
      <c r="E64" s="39"/>
      <c r="F64" s="5"/>
      <c r="G64" s="5"/>
      <c r="H64" s="87"/>
    </row>
    <row r="65" spans="2:8" x14ac:dyDescent="0.25">
      <c r="B65" s="14" t="s">
        <v>99</v>
      </c>
      <c r="C65" s="5">
        <f>'Production Parameters'!$C$5</f>
        <v>250</v>
      </c>
      <c r="D65" s="5" t="str">
        <f>'Production Parameters'!$D$5</f>
        <v>ewes</v>
      </c>
      <c r="E65" s="237">
        <v>1.3</v>
      </c>
      <c r="F65" s="5" t="s">
        <v>63</v>
      </c>
      <c r="G65" s="5"/>
      <c r="H65" s="73">
        <f>IF(E65*C65=0,"", E65*C65)</f>
        <v>325</v>
      </c>
    </row>
    <row r="66" spans="2:8" x14ac:dyDescent="0.25">
      <c r="B66" s="14" t="s">
        <v>100</v>
      </c>
      <c r="C66" s="5">
        <f>'Production Parameters'!$C$5</f>
        <v>250</v>
      </c>
      <c r="D66" s="5" t="str">
        <f>'Production Parameters'!$D$5</f>
        <v>ewes</v>
      </c>
      <c r="E66" s="237"/>
      <c r="F66" s="5" t="s">
        <v>63</v>
      </c>
      <c r="G66" s="5"/>
      <c r="H66" s="72">
        <f>C66*E66</f>
        <v>0</v>
      </c>
    </row>
    <row r="67" spans="2:8" x14ac:dyDescent="0.25">
      <c r="B67" s="14" t="s">
        <v>101</v>
      </c>
      <c r="C67" s="5">
        <f>'Production Parameters'!C36</f>
        <v>319</v>
      </c>
      <c r="D67" s="5" t="s">
        <v>144</v>
      </c>
      <c r="E67" s="237">
        <v>1.19</v>
      </c>
      <c r="F67" s="5" t="s">
        <v>143</v>
      </c>
      <c r="G67" s="5"/>
      <c r="H67" s="73">
        <f>IF(E67*C67=0,"", E67*C67)</f>
        <v>379.60999999999996</v>
      </c>
    </row>
    <row r="68" spans="2:8" x14ac:dyDescent="0.25">
      <c r="B68" s="14" t="s">
        <v>102</v>
      </c>
      <c r="C68" s="114">
        <f>'Production Parameters'!C27+'Production Parameters'!C36</f>
        <v>319</v>
      </c>
      <c r="D68" s="5" t="s">
        <v>170</v>
      </c>
      <c r="E68" s="237">
        <v>5</v>
      </c>
      <c r="F68" s="5" t="s">
        <v>143</v>
      </c>
      <c r="G68" s="5"/>
      <c r="H68" s="73">
        <f>IF(E68*C68=0,"", E68*C68)</f>
        <v>1595</v>
      </c>
    </row>
    <row r="69" spans="2:8" x14ac:dyDescent="0.25">
      <c r="B69" s="14" t="s">
        <v>103</v>
      </c>
      <c r="C69" s="223"/>
      <c r="D69" s="5" t="s">
        <v>84</v>
      </c>
      <c r="E69" s="237"/>
      <c r="F69" s="5" t="s">
        <v>105</v>
      </c>
      <c r="G69" s="5"/>
      <c r="H69" s="73" t="str">
        <f>IF(E69*C69=0,"", E69*C69)</f>
        <v/>
      </c>
    </row>
    <row r="70" spans="2:8" x14ac:dyDescent="0.25">
      <c r="B70" s="16" t="s">
        <v>60</v>
      </c>
      <c r="C70" s="5"/>
      <c r="D70" s="5"/>
      <c r="E70" s="39"/>
      <c r="F70" s="5"/>
      <c r="G70" s="5"/>
      <c r="H70" s="88"/>
    </row>
    <row r="71" spans="2:8" x14ac:dyDescent="0.25">
      <c r="B71" s="14" t="s">
        <v>61</v>
      </c>
      <c r="C71" s="5">
        <f>'Production Parameters'!$C$5</f>
        <v>250</v>
      </c>
      <c r="D71" s="5" t="str">
        <f>'Production Parameters'!$D$5</f>
        <v>ewes</v>
      </c>
      <c r="E71" s="39">
        <f>H71/C71</f>
        <v>1.5</v>
      </c>
      <c r="F71" s="5" t="s">
        <v>63</v>
      </c>
      <c r="G71" s="5"/>
      <c r="H71" s="238">
        <v>375</v>
      </c>
    </row>
    <row r="72" spans="2:8" x14ac:dyDescent="0.25">
      <c r="B72" s="14" t="s">
        <v>106</v>
      </c>
      <c r="C72" s="5">
        <f>'Production Parameters'!$C$5</f>
        <v>250</v>
      </c>
      <c r="D72" s="5" t="str">
        <f>'Production Parameters'!$D$5</f>
        <v>ewes</v>
      </c>
      <c r="E72" s="115">
        <f>H72/C72</f>
        <v>1.8</v>
      </c>
      <c r="F72" s="5" t="s">
        <v>63</v>
      </c>
      <c r="G72" s="5"/>
      <c r="H72" s="238">
        <v>450</v>
      </c>
    </row>
    <row r="73" spans="2:8" x14ac:dyDescent="0.25">
      <c r="B73" s="14" t="s">
        <v>107</v>
      </c>
      <c r="C73" s="223"/>
      <c r="D73" s="5" t="s">
        <v>84</v>
      </c>
      <c r="E73" s="237"/>
      <c r="F73" s="5" t="s">
        <v>85</v>
      </c>
      <c r="G73" s="5"/>
      <c r="H73" s="73" t="str">
        <f>IF(E73*C73=0,"", E73*C73)</f>
        <v/>
      </c>
    </row>
    <row r="74" spans="2:8" x14ac:dyDescent="0.25">
      <c r="B74" s="13" t="s">
        <v>172</v>
      </c>
      <c r="C74" s="5"/>
      <c r="D74" s="5"/>
      <c r="E74" s="5"/>
      <c r="F74" s="5"/>
      <c r="G74" s="5"/>
      <c r="H74" s="11"/>
    </row>
    <row r="75" spans="2:8" x14ac:dyDescent="0.25">
      <c r="B75" s="14" t="s">
        <v>176</v>
      </c>
      <c r="C75" s="5">
        <f>'Production Parameters'!$C$5</f>
        <v>250</v>
      </c>
      <c r="D75" s="5" t="str">
        <f>'Production Parameters'!$D$5</f>
        <v>ewes</v>
      </c>
      <c r="E75" s="91" t="str">
        <f>IF(H75/C75=0,"", H75/C75)</f>
        <v/>
      </c>
      <c r="F75" s="5" t="s">
        <v>63</v>
      </c>
      <c r="G75" s="5"/>
      <c r="H75" s="239"/>
    </row>
    <row r="76" spans="2:8" x14ac:dyDescent="0.25">
      <c r="B76" s="14" t="s">
        <v>175</v>
      </c>
      <c r="C76" s="5">
        <f>'Production Parameters'!$C$5</f>
        <v>250</v>
      </c>
      <c r="D76" s="5" t="str">
        <f>'Production Parameters'!$D$5</f>
        <v>ewes</v>
      </c>
      <c r="E76" s="91">
        <f t="shared" ref="E76:E78" si="0">IF(H76/C76=0,"", H76/C76)</f>
        <v>5</v>
      </c>
      <c r="F76" s="5" t="s">
        <v>63</v>
      </c>
      <c r="G76" s="5"/>
      <c r="H76" s="239">
        <v>1250</v>
      </c>
    </row>
    <row r="77" spans="2:8" x14ac:dyDescent="0.25">
      <c r="B77" s="14" t="s">
        <v>173</v>
      </c>
      <c r="C77" s="5">
        <f>'Production Parameters'!$C$5</f>
        <v>250</v>
      </c>
      <c r="D77" s="5" t="str">
        <f>'Production Parameters'!$D$5</f>
        <v>ewes</v>
      </c>
      <c r="E77" s="91">
        <f t="shared" si="0"/>
        <v>3</v>
      </c>
      <c r="F77" s="5" t="s">
        <v>63</v>
      </c>
      <c r="G77" s="5"/>
      <c r="H77" s="239">
        <v>750</v>
      </c>
    </row>
    <row r="78" spans="2:8" x14ac:dyDescent="0.25">
      <c r="B78" s="14" t="s">
        <v>174</v>
      </c>
      <c r="C78" s="5">
        <f>'Production Parameters'!$C$5</f>
        <v>250</v>
      </c>
      <c r="D78" s="5" t="str">
        <f>'Production Parameters'!$D$5</f>
        <v>ewes</v>
      </c>
      <c r="E78" s="91" t="str">
        <f t="shared" si="0"/>
        <v/>
      </c>
      <c r="F78" s="5" t="s">
        <v>63</v>
      </c>
      <c r="G78" s="5"/>
      <c r="H78" s="239"/>
    </row>
    <row r="79" spans="2:8" x14ac:dyDescent="0.25">
      <c r="B79" s="13" t="s">
        <v>108</v>
      </c>
      <c r="C79" s="5"/>
      <c r="D79" s="5"/>
      <c r="E79" s="5"/>
      <c r="F79" s="5"/>
      <c r="G79" s="5"/>
      <c r="H79" s="11"/>
    </row>
    <row r="80" spans="2:8" x14ac:dyDescent="0.25">
      <c r="B80" s="14" t="s">
        <v>56</v>
      </c>
      <c r="C80" s="5">
        <f>'Production Parameters'!$C$5</f>
        <v>250</v>
      </c>
      <c r="D80" s="5" t="str">
        <f>'Production Parameters'!$D$5</f>
        <v>ewes</v>
      </c>
      <c r="E80" s="237">
        <v>26</v>
      </c>
      <c r="F80" s="5" t="s">
        <v>63</v>
      </c>
      <c r="G80" s="5"/>
      <c r="H80" s="73">
        <f>IF(E80*C80=0,"", E80*C80)</f>
        <v>6500</v>
      </c>
    </row>
    <row r="81" spans="2:8" x14ac:dyDescent="0.25">
      <c r="B81" s="14" t="s">
        <v>57</v>
      </c>
      <c r="C81" s="5">
        <f>'Production Parameters'!$C$5</f>
        <v>250</v>
      </c>
      <c r="D81" s="5" t="str">
        <f>'Production Parameters'!$D$5</f>
        <v>ewes</v>
      </c>
      <c r="E81" s="237">
        <v>12.5</v>
      </c>
      <c r="F81" s="5" t="s">
        <v>63</v>
      </c>
      <c r="G81" s="5"/>
      <c r="H81" s="73">
        <f t="shared" ref="H81:H86" si="1">IF(E81*C81=0,"", E81*C81)</f>
        <v>3125</v>
      </c>
    </row>
    <row r="82" spans="2:8" x14ac:dyDescent="0.25">
      <c r="B82" s="14" t="s">
        <v>58</v>
      </c>
      <c r="C82" s="5">
        <f>'Production Parameters'!$C$5</f>
        <v>250</v>
      </c>
      <c r="D82" s="5" t="str">
        <f>'Production Parameters'!$D$5</f>
        <v>ewes</v>
      </c>
      <c r="E82" s="237">
        <v>4.5</v>
      </c>
      <c r="F82" s="5" t="s">
        <v>63</v>
      </c>
      <c r="G82" s="5"/>
      <c r="H82" s="73">
        <f t="shared" si="1"/>
        <v>1125</v>
      </c>
    </row>
    <row r="83" spans="2:8" x14ac:dyDescent="0.25">
      <c r="B83" s="18" t="s">
        <v>230</v>
      </c>
      <c r="C83" s="223">
        <v>250</v>
      </c>
      <c r="D83" s="5" t="s">
        <v>28</v>
      </c>
      <c r="E83" s="229">
        <v>4</v>
      </c>
      <c r="F83" s="5" t="s">
        <v>63</v>
      </c>
      <c r="G83" s="5"/>
      <c r="H83" s="73">
        <f t="shared" si="1"/>
        <v>1000</v>
      </c>
    </row>
    <row r="84" spans="2:8" x14ac:dyDescent="0.25">
      <c r="B84" s="18" t="s">
        <v>108</v>
      </c>
      <c r="C84" s="223"/>
      <c r="D84" s="5" t="s">
        <v>84</v>
      </c>
      <c r="E84" s="223"/>
      <c r="F84" s="5" t="s">
        <v>105</v>
      </c>
      <c r="G84" s="5"/>
      <c r="H84" s="29" t="str">
        <f t="shared" si="1"/>
        <v/>
      </c>
    </row>
    <row r="85" spans="2:8" x14ac:dyDescent="0.25">
      <c r="B85" s="18" t="s">
        <v>108</v>
      </c>
      <c r="C85" s="223"/>
      <c r="D85" s="5" t="s">
        <v>84</v>
      </c>
      <c r="E85" s="223"/>
      <c r="F85" s="5" t="s">
        <v>105</v>
      </c>
      <c r="G85" s="5"/>
      <c r="H85" s="29"/>
    </row>
    <row r="86" spans="2:8" x14ac:dyDescent="0.25">
      <c r="B86" s="18" t="s">
        <v>108</v>
      </c>
      <c r="C86" s="223"/>
      <c r="D86" s="5" t="s">
        <v>84</v>
      </c>
      <c r="E86" s="223"/>
      <c r="F86" s="5" t="s">
        <v>105</v>
      </c>
      <c r="G86" s="5"/>
      <c r="H86" s="29" t="str">
        <f t="shared" si="1"/>
        <v/>
      </c>
    </row>
    <row r="87" spans="2:8" x14ac:dyDescent="0.25">
      <c r="B87" s="15"/>
      <c r="C87" s="5"/>
      <c r="D87" s="5"/>
      <c r="E87" s="5"/>
      <c r="F87" s="5"/>
      <c r="G87" s="5"/>
      <c r="H87" s="88"/>
    </row>
    <row r="88" spans="2:8" ht="16.5" thickBot="1" x14ac:dyDescent="0.3">
      <c r="B88" s="13" t="s">
        <v>89</v>
      </c>
      <c r="C88" s="5"/>
      <c r="D88" s="5"/>
      <c r="E88" s="5"/>
      <c r="F88" s="5"/>
      <c r="G88" s="5"/>
      <c r="H88" s="90">
        <f>SUM(H61:H86)</f>
        <v>18174.61</v>
      </c>
    </row>
    <row r="89" spans="2:8" ht="17.25" thickTop="1" thickBot="1" x14ac:dyDescent="0.3">
      <c r="B89" s="32"/>
      <c r="C89" s="6"/>
      <c r="D89" s="6"/>
      <c r="E89" s="6"/>
      <c r="F89" s="6"/>
      <c r="G89" s="6"/>
      <c r="H89" s="12"/>
    </row>
    <row r="103" spans="1:1" x14ac:dyDescent="0.25">
      <c r="A103" s="7"/>
    </row>
  </sheetData>
  <sheetProtection sheet="1" objects="1" scenarios="1"/>
  <pageMargins left="0.7" right="0.7" top="0.75" bottom="0.75" header="0.3" footer="0.3"/>
  <pageSetup scale="47" fitToWidth="0"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E2B03-56DD-4CD2-8BFF-7B8D1B31539B}">
  <sheetPr>
    <tabColor rgb="FFFFCCCC"/>
    <pageSetUpPr fitToPage="1"/>
  </sheetPr>
  <dimension ref="A1:I40"/>
  <sheetViews>
    <sheetView showGridLines="0" workbookViewId="0">
      <selection activeCell="B28" sqref="B28"/>
    </sheetView>
  </sheetViews>
  <sheetFormatPr defaultColWidth="8.7109375" defaultRowHeight="15.75" x14ac:dyDescent="0.25"/>
  <cols>
    <col min="1" max="1" width="4" style="1" customWidth="1"/>
    <col min="2" max="2" width="57.85546875" style="1" customWidth="1"/>
    <col min="3" max="3" width="8.7109375" style="1" bestFit="1" customWidth="1"/>
    <col min="4" max="4" width="2.140625" style="1" customWidth="1"/>
    <col min="5" max="5" width="8.85546875" style="1" customWidth="1"/>
    <col min="6" max="6" width="2.28515625" style="1" customWidth="1"/>
    <col min="7" max="7" width="25.42578125" style="1" customWidth="1"/>
    <col min="8" max="8" width="30.42578125" style="1" bestFit="1" customWidth="1"/>
    <col min="9" max="9" width="71.7109375" style="1" bestFit="1" customWidth="1"/>
    <col min="10" max="16384" width="8.7109375" style="1"/>
  </cols>
  <sheetData>
    <row r="1" spans="2:9" ht="16.5" thickBot="1" x14ac:dyDescent="0.3">
      <c r="H1" s="47"/>
      <c r="I1" s="46"/>
    </row>
    <row r="2" spans="2:9" ht="23.25" thickBot="1" x14ac:dyDescent="0.35">
      <c r="B2" s="63" t="s">
        <v>242</v>
      </c>
      <c r="C2" s="66"/>
      <c r="D2" s="66"/>
      <c r="E2" s="66"/>
      <c r="F2" s="66"/>
      <c r="G2" s="65">
        <f>G19+G32</f>
        <v>18353.978701122564</v>
      </c>
      <c r="H2" s="48"/>
      <c r="I2" s="47"/>
    </row>
    <row r="3" spans="2:9" ht="16.5" thickBot="1" x14ac:dyDescent="0.3">
      <c r="H3" s="48"/>
      <c r="I3" s="48"/>
    </row>
    <row r="4" spans="2:9" ht="23.25" thickBot="1" x14ac:dyDescent="0.35">
      <c r="B4" s="241" t="s">
        <v>171</v>
      </c>
      <c r="C4" s="296"/>
      <c r="D4" s="297"/>
      <c r="E4" s="297"/>
      <c r="F4" s="297"/>
      <c r="G4" s="298"/>
      <c r="H4" s="48"/>
      <c r="I4" s="48"/>
    </row>
    <row r="5" spans="2:9" ht="31.5" x14ac:dyDescent="0.25">
      <c r="B5" s="15"/>
      <c r="C5" s="41" t="s">
        <v>237</v>
      </c>
      <c r="D5" s="41"/>
      <c r="E5" s="41" t="s">
        <v>51</v>
      </c>
      <c r="F5" s="41"/>
      <c r="G5" s="212" t="s">
        <v>171</v>
      </c>
      <c r="H5" s="48"/>
      <c r="I5" s="48"/>
    </row>
    <row r="6" spans="2:9" x14ac:dyDescent="0.25">
      <c r="B6" s="13" t="s">
        <v>232</v>
      </c>
      <c r="C6" s="5"/>
      <c r="D6" s="5"/>
      <c r="E6" s="5"/>
      <c r="F6" s="5"/>
      <c r="G6" s="11"/>
      <c r="H6" s="47"/>
      <c r="I6" s="48"/>
    </row>
    <row r="7" spans="2:9" x14ac:dyDescent="0.25">
      <c r="B7" s="14" t="s">
        <v>236</v>
      </c>
      <c r="C7" s="91">
        <f>G7/'Production Parameters'!$C$5</f>
        <v>6</v>
      </c>
      <c r="D7" s="5"/>
      <c r="E7" s="5" t="s">
        <v>63</v>
      </c>
      <c r="F7" s="5"/>
      <c r="G7" s="240">
        <f>('Production Parameters'!H24-'Production Parameters'!H25)/'Production Parameters'!H26</f>
        <v>1500</v>
      </c>
      <c r="H7" s="47"/>
      <c r="I7" s="48"/>
    </row>
    <row r="8" spans="2:9" x14ac:dyDescent="0.25">
      <c r="B8" s="14" t="s">
        <v>195</v>
      </c>
      <c r="C8" s="91">
        <f>G8/'Production Parameters'!$C$5</f>
        <v>7.8243706073206942</v>
      </c>
      <c r="D8" s="74"/>
      <c r="E8" s="5" t="s">
        <v>63</v>
      </c>
      <c r="F8" s="5"/>
      <c r="G8" s="240">
        <f>'Production Parameters'!H34/'Production Parameters'!H31</f>
        <v>1956.0926518301735</v>
      </c>
      <c r="H8" s="46"/>
      <c r="I8" s="47"/>
    </row>
    <row r="9" spans="2:9" x14ac:dyDescent="0.25">
      <c r="B9" s="14" t="s">
        <v>196</v>
      </c>
      <c r="C9" s="91">
        <f>G9/'Production Parameters'!$C$5</f>
        <v>32.591544197169561</v>
      </c>
      <c r="D9" s="74"/>
      <c r="E9" s="5" t="s">
        <v>63</v>
      </c>
      <c r="F9" s="5"/>
      <c r="G9" s="240">
        <f>'Production Parameters'!H42/'Production Parameters'!H39</f>
        <v>8147.8860492923895</v>
      </c>
      <c r="H9" s="48"/>
    </row>
    <row r="10" spans="2:9" x14ac:dyDescent="0.25">
      <c r="B10" s="14" t="s">
        <v>235</v>
      </c>
      <c r="C10" s="91">
        <f>G10/'Production Parameters'!$C$5</f>
        <v>8</v>
      </c>
      <c r="D10" s="74"/>
      <c r="E10" s="5" t="s">
        <v>63</v>
      </c>
      <c r="F10" s="5"/>
      <c r="G10" s="240">
        <f>('Production Parameters'!H47-'Production Parameters'!H48)/'Production Parameters'!H49</f>
        <v>2000</v>
      </c>
      <c r="H10" s="48"/>
    </row>
    <row r="11" spans="2:9" x14ac:dyDescent="0.25">
      <c r="B11" s="14"/>
      <c r="C11" s="91"/>
      <c r="D11" s="74"/>
      <c r="E11" s="5"/>
      <c r="F11" s="5"/>
      <c r="G11" s="11"/>
      <c r="H11" s="48"/>
    </row>
    <row r="12" spans="2:9" x14ac:dyDescent="0.25">
      <c r="B12" s="164" t="s">
        <v>241</v>
      </c>
      <c r="C12" s="91"/>
      <c r="D12" s="74"/>
      <c r="E12" s="5"/>
      <c r="F12" s="5"/>
      <c r="G12" s="24"/>
      <c r="H12" s="48"/>
    </row>
    <row r="13" spans="2:9" x14ac:dyDescent="0.25">
      <c r="B13" s="14" t="s">
        <v>203</v>
      </c>
      <c r="C13" s="91">
        <f>G13/'Production Parameters'!$C$5</f>
        <v>0</v>
      </c>
      <c r="D13" s="74"/>
      <c r="E13" s="5" t="s">
        <v>63</v>
      </c>
      <c r="F13" s="5"/>
      <c r="G13" s="240"/>
      <c r="H13" s="48"/>
    </row>
    <row r="14" spans="2:9" x14ac:dyDescent="0.25">
      <c r="B14" s="14" t="s">
        <v>203</v>
      </c>
      <c r="C14" s="91">
        <f>G14/'Production Parameters'!$C$5</f>
        <v>0</v>
      </c>
      <c r="D14" s="74"/>
      <c r="E14" s="5" t="s">
        <v>63</v>
      </c>
      <c r="F14" s="5"/>
      <c r="G14" s="240"/>
      <c r="H14" s="48"/>
    </row>
    <row r="15" spans="2:9" x14ac:dyDescent="0.25">
      <c r="B15" s="14" t="s">
        <v>203</v>
      </c>
      <c r="C15" s="91">
        <f>G15/'Production Parameters'!$C$5</f>
        <v>0</v>
      </c>
      <c r="D15" s="5"/>
      <c r="E15" s="5" t="s">
        <v>63</v>
      </c>
      <c r="F15" s="5"/>
      <c r="G15" s="240"/>
      <c r="H15" s="48"/>
    </row>
    <row r="16" spans="2:9" x14ac:dyDescent="0.25">
      <c r="B16" s="171"/>
      <c r="C16" s="91"/>
      <c r="D16" s="210"/>
      <c r="E16" s="91"/>
      <c r="F16" s="210"/>
      <c r="G16" s="22"/>
      <c r="H16" s="48"/>
      <c r="I16" s="48"/>
    </row>
    <row r="17" spans="1:9" x14ac:dyDescent="0.25">
      <c r="B17" s="171" t="s">
        <v>238</v>
      </c>
      <c r="C17" s="91">
        <f>G17/'Production Parameters'!$C$5</f>
        <v>7</v>
      </c>
      <c r="D17" s="5"/>
      <c r="E17" s="5" t="s">
        <v>63</v>
      </c>
      <c r="F17" s="5"/>
      <c r="G17" s="240">
        <v>1750</v>
      </c>
      <c r="H17" s="48"/>
      <c r="I17" s="48"/>
    </row>
    <row r="18" spans="1:9" x14ac:dyDescent="0.25">
      <c r="B18" s="171"/>
      <c r="C18" s="91"/>
      <c r="D18" s="5"/>
      <c r="E18" s="5"/>
      <c r="F18" s="5"/>
      <c r="G18" s="22"/>
      <c r="H18" s="48"/>
      <c r="I18" s="48"/>
    </row>
    <row r="19" spans="1:9" ht="16.5" thickBot="1" x14ac:dyDescent="0.3">
      <c r="B19" s="164" t="s">
        <v>243</v>
      </c>
      <c r="C19" s="91"/>
      <c r="D19" s="5"/>
      <c r="E19" s="5"/>
      <c r="F19" s="5"/>
      <c r="G19" s="79">
        <f>SUM(G7:G17)</f>
        <v>15353.978701122564</v>
      </c>
      <c r="H19" s="48"/>
      <c r="I19" s="48"/>
    </row>
    <row r="20" spans="1:9" ht="17.25" thickTop="1" thickBot="1" x14ac:dyDescent="0.3">
      <c r="B20" s="67"/>
      <c r="C20" s="68"/>
      <c r="D20" s="68"/>
      <c r="E20" s="6"/>
      <c r="F20" s="6"/>
      <c r="G20" s="12"/>
      <c r="H20" s="48"/>
      <c r="I20" s="48"/>
    </row>
    <row r="21" spans="1:9" ht="16.5" thickBot="1" x14ac:dyDescent="0.3">
      <c r="H21" s="48"/>
      <c r="I21" s="48"/>
    </row>
    <row r="22" spans="1:9" ht="23.25" thickBot="1" x14ac:dyDescent="0.35">
      <c r="A22" s="2"/>
      <c r="B22" s="55" t="s">
        <v>239</v>
      </c>
      <c r="C22" s="296"/>
      <c r="D22" s="297"/>
      <c r="E22" s="297"/>
      <c r="F22" s="297"/>
      <c r="G22" s="298"/>
      <c r="H22" s="48"/>
      <c r="I22" s="48"/>
    </row>
    <row r="23" spans="1:9" ht="31.5" x14ac:dyDescent="0.25">
      <c r="A23" s="2"/>
      <c r="B23" s="15"/>
      <c r="C23" s="41" t="s">
        <v>6</v>
      </c>
      <c r="D23" s="41"/>
      <c r="E23" s="41" t="s">
        <v>51</v>
      </c>
      <c r="F23" s="41"/>
      <c r="G23" s="212" t="s">
        <v>245</v>
      </c>
      <c r="H23" s="8"/>
      <c r="I23" s="48"/>
    </row>
    <row r="24" spans="1:9" x14ac:dyDescent="0.25">
      <c r="A24" s="2"/>
      <c r="B24" s="171" t="s">
        <v>240</v>
      </c>
      <c r="C24" s="5"/>
      <c r="D24" s="5"/>
      <c r="E24" s="5"/>
      <c r="F24" s="5"/>
      <c r="G24" s="11"/>
      <c r="H24" s="8" t="str">
        <f>IF(C29="","",1-C29)</f>
        <v/>
      </c>
    </row>
    <row r="25" spans="1:9" x14ac:dyDescent="0.25">
      <c r="A25" s="4"/>
      <c r="B25" s="14" t="s">
        <v>124</v>
      </c>
      <c r="C25" s="91">
        <f>G25/'Production Parameters'!$C$5</f>
        <v>12</v>
      </c>
      <c r="D25" s="74"/>
      <c r="E25" s="5" t="s">
        <v>63</v>
      </c>
      <c r="F25" s="5"/>
      <c r="G25" s="240">
        <v>3000</v>
      </c>
    </row>
    <row r="26" spans="1:9" x14ac:dyDescent="0.25">
      <c r="A26" s="2"/>
      <c r="B26" s="15"/>
      <c r="C26" s="5"/>
      <c r="D26" s="5"/>
      <c r="E26" s="5"/>
      <c r="F26" s="5"/>
      <c r="G26" s="11"/>
    </row>
    <row r="27" spans="1:9" x14ac:dyDescent="0.25">
      <c r="A27" s="2"/>
      <c r="B27" s="164" t="s">
        <v>109</v>
      </c>
      <c r="C27" s="91"/>
      <c r="D27" s="74"/>
      <c r="E27" s="5"/>
      <c r="F27" s="5"/>
      <c r="G27" s="24"/>
      <c r="H27" s="8"/>
    </row>
    <row r="28" spans="1:9" x14ac:dyDescent="0.25">
      <c r="A28" s="2"/>
      <c r="B28" s="169" t="s">
        <v>202</v>
      </c>
      <c r="C28" s="91"/>
      <c r="D28" s="5"/>
      <c r="E28" s="5" t="s">
        <v>63</v>
      </c>
      <c r="F28" s="170"/>
      <c r="G28" s="240"/>
      <c r="H28" s="8"/>
      <c r="I28" s="8"/>
    </row>
    <row r="29" spans="1:9" x14ac:dyDescent="0.25">
      <c r="A29" s="2"/>
      <c r="B29" s="14" t="s">
        <v>109</v>
      </c>
      <c r="C29" s="30" t="str">
        <f>IF(G29/'Production Parameters'!$C$5=0,"",G29/'Production Parameters'!$C$5)</f>
        <v/>
      </c>
      <c r="D29" s="74"/>
      <c r="E29" s="5" t="s">
        <v>63</v>
      </c>
      <c r="F29" s="5"/>
      <c r="G29" s="240"/>
      <c r="H29" s="8"/>
      <c r="I29" s="8"/>
    </row>
    <row r="30" spans="1:9" x14ac:dyDescent="0.25">
      <c r="A30" s="2"/>
      <c r="B30" s="14" t="s">
        <v>109</v>
      </c>
      <c r="C30" s="30" t="str">
        <f>IF(G30/'Production Parameters'!$C$5=0,"",G30/'Production Parameters'!$C$5)</f>
        <v/>
      </c>
      <c r="D30" s="5"/>
      <c r="E30" s="5" t="s">
        <v>63</v>
      </c>
      <c r="F30" s="5"/>
      <c r="G30" s="240"/>
      <c r="H30" s="8"/>
      <c r="I30" s="8"/>
    </row>
    <row r="31" spans="1:9" x14ac:dyDescent="0.25">
      <c r="A31" s="2"/>
      <c r="B31" s="15"/>
      <c r="C31" s="5"/>
      <c r="D31" s="5"/>
      <c r="E31" s="5"/>
      <c r="F31" s="5"/>
      <c r="G31" s="11"/>
      <c r="H31" s="8"/>
      <c r="I31" s="8"/>
    </row>
    <row r="32" spans="1:9" ht="16.5" thickBot="1" x14ac:dyDescent="0.3">
      <c r="B32" s="164" t="s">
        <v>246</v>
      </c>
      <c r="C32" s="91"/>
      <c r="D32" s="5"/>
      <c r="E32" s="5"/>
      <c r="F32" s="5"/>
      <c r="G32" s="79">
        <f>SUM(G25:G30)</f>
        <v>3000</v>
      </c>
      <c r="I32" s="8"/>
    </row>
    <row r="33" spans="1:9" ht="17.25" thickTop="1" thickBot="1" x14ac:dyDescent="0.3">
      <c r="B33" s="17"/>
      <c r="C33" s="68"/>
      <c r="D33" s="68"/>
      <c r="E33" s="6"/>
      <c r="F33" s="6"/>
      <c r="G33" s="12"/>
      <c r="I33" s="8"/>
    </row>
    <row r="34" spans="1:9" x14ac:dyDescent="0.25">
      <c r="I34" s="8"/>
    </row>
    <row r="35" spans="1:9" x14ac:dyDescent="0.25">
      <c r="A35" s="8"/>
      <c r="I35" s="8"/>
    </row>
    <row r="36" spans="1:9" x14ac:dyDescent="0.25">
      <c r="A36" s="8"/>
      <c r="I36" s="8"/>
    </row>
    <row r="37" spans="1:9" x14ac:dyDescent="0.25">
      <c r="A37" s="8"/>
      <c r="B37" s="8"/>
      <c r="C37" s="8"/>
      <c r="D37" s="8"/>
      <c r="I37" s="8"/>
    </row>
    <row r="38" spans="1:9" x14ac:dyDescent="0.25">
      <c r="C38" s="8"/>
      <c r="D38" s="8"/>
      <c r="I38" s="8"/>
    </row>
    <row r="39" spans="1:9" x14ac:dyDescent="0.25">
      <c r="C39" s="8"/>
      <c r="D39" s="8"/>
      <c r="I39" s="8"/>
    </row>
    <row r="40" spans="1:9" x14ac:dyDescent="0.25">
      <c r="A40" s="8"/>
      <c r="B40" s="8"/>
      <c r="C40" s="8"/>
      <c r="D40" s="8"/>
    </row>
  </sheetData>
  <sheetProtection sheet="1" objects="1" scenarios="1"/>
  <mergeCells count="2">
    <mergeCell ref="C4:G4"/>
    <mergeCell ref="C22:G22"/>
  </mergeCells>
  <pageMargins left="0.7" right="0.7" top="0.75" bottom="0.75" header="0.3" footer="0.3"/>
  <pageSetup scale="87" orientation="landscape" horizontalDpi="4294967293" verticalDpi="4294967293"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01A8-1D49-4CA4-B3AD-BEC70F7F705A}">
  <sheetPr>
    <pageSetUpPr fitToPage="1"/>
  </sheetPr>
  <dimension ref="B1:N18"/>
  <sheetViews>
    <sheetView showGridLines="0" workbookViewId="0">
      <selection activeCell="I7" sqref="I7"/>
    </sheetView>
  </sheetViews>
  <sheetFormatPr defaultColWidth="8.7109375" defaultRowHeight="15.75" x14ac:dyDescent="0.25"/>
  <cols>
    <col min="1" max="1" width="8.7109375" style="1"/>
    <col min="2" max="2" width="22.42578125" style="1" bestFit="1" customWidth="1"/>
    <col min="3" max="4" width="10" style="1" customWidth="1"/>
    <col min="5" max="5" width="8.85546875" style="1" bestFit="1" customWidth="1"/>
    <col min="6" max="6" width="2.140625" style="1" customWidth="1"/>
    <col min="7" max="7" width="21" style="1" customWidth="1"/>
    <col min="8" max="16384" width="8.7109375" style="1"/>
  </cols>
  <sheetData>
    <row r="1" spans="2:14" ht="16.5" thickBot="1" x14ac:dyDescent="0.3"/>
    <row r="2" spans="2:14" ht="23.25" thickBot="1" x14ac:dyDescent="0.35">
      <c r="B2" s="63" t="s">
        <v>120</v>
      </c>
      <c r="C2" s="108"/>
      <c r="D2" s="108"/>
      <c r="E2" s="108"/>
      <c r="F2" s="108"/>
      <c r="G2" s="65">
        <f>G17</f>
        <v>1700</v>
      </c>
    </row>
    <row r="3" spans="2:14" ht="16.5" thickBot="1" x14ac:dyDescent="0.3"/>
    <row r="4" spans="2:14" ht="23.25" thickBot="1" x14ac:dyDescent="0.35">
      <c r="B4" s="55" t="s">
        <v>110</v>
      </c>
      <c r="C4" s="21"/>
      <c r="D4" s="21"/>
      <c r="E4" s="21"/>
      <c r="F4" s="21"/>
      <c r="G4" s="10"/>
    </row>
    <row r="5" spans="2:14" ht="31.5" x14ac:dyDescent="0.25">
      <c r="B5" s="15"/>
      <c r="C5" s="41" t="s">
        <v>121</v>
      </c>
      <c r="D5" s="41" t="s">
        <v>6</v>
      </c>
      <c r="E5" s="41" t="s">
        <v>51</v>
      </c>
      <c r="F5" s="5"/>
      <c r="G5" s="212" t="s">
        <v>244</v>
      </c>
    </row>
    <row r="6" spans="2:14" x14ac:dyDescent="0.25">
      <c r="B6" s="101" t="s">
        <v>110</v>
      </c>
      <c r="C6" s="5"/>
      <c r="D6" s="91"/>
      <c r="E6" s="109"/>
      <c r="F6" s="91" t="str">
        <f>IF(D6*'Production Parameters'!$C$5=0,"",D6*'Production Parameters'!$C$5)</f>
        <v/>
      </c>
      <c r="G6" s="11"/>
    </row>
    <row r="7" spans="2:14" x14ac:dyDescent="0.25">
      <c r="B7" s="111" t="s">
        <v>126</v>
      </c>
      <c r="C7" s="5"/>
      <c r="D7" s="91"/>
      <c r="E7" s="109"/>
      <c r="F7" s="91"/>
      <c r="G7" s="243">
        <v>1200</v>
      </c>
      <c r="N7" s="112"/>
    </row>
    <row r="8" spans="2:14" x14ac:dyDescent="0.25">
      <c r="B8" s="111" t="s">
        <v>127</v>
      </c>
      <c r="C8" s="5"/>
      <c r="D8" s="91"/>
      <c r="E8" s="109"/>
      <c r="F8" s="91"/>
      <c r="G8" s="243">
        <v>500</v>
      </c>
      <c r="N8" s="112"/>
    </row>
    <row r="9" spans="2:14" x14ac:dyDescent="0.25">
      <c r="B9" s="242"/>
      <c r="C9" s="223"/>
      <c r="D9" s="229"/>
      <c r="E9" s="223"/>
      <c r="F9" s="5"/>
      <c r="G9" s="24" t="str">
        <f>IF(C9*D9=0,"",C9*D9)</f>
        <v/>
      </c>
    </row>
    <row r="10" spans="2:14" x14ac:dyDescent="0.25">
      <c r="B10" s="242"/>
      <c r="C10" s="223"/>
      <c r="D10" s="229"/>
      <c r="E10" s="223"/>
      <c r="F10" s="5"/>
      <c r="G10" s="24" t="str">
        <f t="shared" ref="G10:G15" si="0">IF(C10*D10=0,"",C10*D10)</f>
        <v/>
      </c>
    </row>
    <row r="11" spans="2:14" x14ac:dyDescent="0.25">
      <c r="B11" s="242"/>
      <c r="C11" s="223"/>
      <c r="D11" s="229"/>
      <c r="E11" s="223"/>
      <c r="F11" s="5"/>
      <c r="G11" s="24" t="str">
        <f t="shared" si="0"/>
        <v/>
      </c>
    </row>
    <row r="12" spans="2:14" x14ac:dyDescent="0.25">
      <c r="B12" s="242"/>
      <c r="C12" s="223"/>
      <c r="D12" s="229"/>
      <c r="E12" s="223"/>
      <c r="F12" s="5"/>
      <c r="G12" s="24" t="str">
        <f t="shared" si="0"/>
        <v/>
      </c>
    </row>
    <row r="13" spans="2:14" x14ac:dyDescent="0.25">
      <c r="B13" s="242"/>
      <c r="C13" s="223"/>
      <c r="D13" s="229"/>
      <c r="E13" s="223"/>
      <c r="F13" s="5"/>
      <c r="G13" s="24" t="str">
        <f t="shared" si="0"/>
        <v/>
      </c>
    </row>
    <row r="14" spans="2:14" x14ac:dyDescent="0.25">
      <c r="B14" s="242"/>
      <c r="C14" s="223"/>
      <c r="D14" s="223"/>
      <c r="E14" s="223"/>
      <c r="F14" s="5"/>
      <c r="G14" s="24" t="str">
        <f t="shared" si="0"/>
        <v/>
      </c>
    </row>
    <row r="15" spans="2:14" x14ac:dyDescent="0.25">
      <c r="B15" s="242"/>
      <c r="C15" s="223"/>
      <c r="D15" s="229"/>
      <c r="E15" s="223"/>
      <c r="F15" s="5"/>
      <c r="G15" s="24" t="str">
        <f t="shared" si="0"/>
        <v/>
      </c>
    </row>
    <row r="16" spans="2:14" x14ac:dyDescent="0.25">
      <c r="B16" s="15"/>
      <c r="C16" s="5"/>
      <c r="D16" s="5"/>
      <c r="E16" s="5"/>
      <c r="F16" s="5"/>
      <c r="G16" s="11"/>
    </row>
    <row r="17" spans="2:7" ht="16.5" thickBot="1" x14ac:dyDescent="0.3">
      <c r="B17" s="13" t="s">
        <v>120</v>
      </c>
      <c r="C17" s="5"/>
      <c r="D17" s="5"/>
      <c r="E17" s="5"/>
      <c r="F17" s="5"/>
      <c r="G17" s="78">
        <f>SUM(G7:G15)</f>
        <v>1700</v>
      </c>
    </row>
    <row r="18" spans="2:7" ht="17.25" thickTop="1" thickBot="1" x14ac:dyDescent="0.3">
      <c r="B18" s="32"/>
      <c r="C18" s="6"/>
      <c r="D18" s="6"/>
      <c r="E18" s="6"/>
      <c r="F18" s="6"/>
      <c r="G18" s="12"/>
    </row>
  </sheetData>
  <sheetProtection sheet="1" objects="1" scenarios="1"/>
  <pageMargins left="0.7" right="0.7" top="0.75" bottom="0.75" header="0.3" footer="0.3"/>
  <pageSetup orientation="portrait"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B1F96-FD2E-49E9-8267-DD68091D119D}">
  <dimension ref="B1:G24"/>
  <sheetViews>
    <sheetView showGridLines="0" topLeftCell="A10" workbookViewId="0">
      <selection activeCell="G15" sqref="G15"/>
    </sheetView>
  </sheetViews>
  <sheetFormatPr defaultColWidth="8.7109375" defaultRowHeight="15.75" x14ac:dyDescent="0.25"/>
  <cols>
    <col min="1" max="1" width="8.7109375" style="1"/>
    <col min="2" max="2" width="41.140625" style="1" customWidth="1"/>
    <col min="3" max="3" width="9.140625" style="1" bestFit="1" customWidth="1"/>
    <col min="4" max="4" width="7.7109375" style="7" customWidth="1"/>
    <col min="5" max="5" width="7" style="1" customWidth="1"/>
    <col min="6" max="6" width="8.85546875" style="1" bestFit="1" customWidth="1"/>
    <col min="7" max="7" width="20.7109375" style="1" customWidth="1"/>
    <col min="8" max="16384" width="8.7109375" style="1"/>
  </cols>
  <sheetData>
    <row r="1" spans="2:7" ht="16.5" thickBot="1" x14ac:dyDescent="0.3"/>
    <row r="2" spans="2:7" ht="23.25" thickBot="1" x14ac:dyDescent="0.35">
      <c r="B2" s="104" t="s">
        <v>112</v>
      </c>
      <c r="C2" s="105"/>
      <c r="D2" s="214"/>
      <c r="E2" s="105"/>
      <c r="F2" s="105"/>
      <c r="G2" s="107">
        <f>G23</f>
        <v>0</v>
      </c>
    </row>
    <row r="3" spans="2:7" ht="16.5" thickBot="1" x14ac:dyDescent="0.3"/>
    <row r="4" spans="2:7" ht="26.25" thickBot="1" x14ac:dyDescent="0.4">
      <c r="B4" s="103" t="s">
        <v>111</v>
      </c>
      <c r="C4" s="21"/>
      <c r="D4" s="215"/>
      <c r="E4" s="21"/>
      <c r="F4" s="21"/>
      <c r="G4" s="10"/>
    </row>
    <row r="5" spans="2:7" ht="31.5" x14ac:dyDescent="0.25">
      <c r="B5" s="13"/>
      <c r="C5" s="25" t="s">
        <v>5</v>
      </c>
      <c r="D5" s="41" t="s">
        <v>19</v>
      </c>
      <c r="E5" s="25" t="s">
        <v>6</v>
      </c>
      <c r="F5" s="25" t="s">
        <v>51</v>
      </c>
      <c r="G5" s="212" t="s">
        <v>118</v>
      </c>
    </row>
    <row r="6" spans="2:7" x14ac:dyDescent="0.25">
      <c r="B6" s="16" t="s">
        <v>113</v>
      </c>
      <c r="C6" s="5"/>
      <c r="D6" s="175"/>
      <c r="E6" s="5"/>
      <c r="F6" s="5"/>
      <c r="G6" s="11"/>
    </row>
    <row r="7" spans="2:7" x14ac:dyDescent="0.25">
      <c r="B7" s="14" t="s">
        <v>114</v>
      </c>
      <c r="C7" s="223"/>
      <c r="D7" s="175" t="s">
        <v>84</v>
      </c>
      <c r="E7" s="223"/>
      <c r="F7" s="5" t="s">
        <v>105</v>
      </c>
      <c r="G7" s="24" t="str">
        <f>IF(C7*E7=0,"",C7*E7)</f>
        <v/>
      </c>
    </row>
    <row r="8" spans="2:7" x14ac:dyDescent="0.25">
      <c r="B8" s="14" t="s">
        <v>115</v>
      </c>
      <c r="C8" s="223"/>
      <c r="D8" s="175" t="s">
        <v>84</v>
      </c>
      <c r="E8" s="223"/>
      <c r="F8" s="5" t="s">
        <v>105</v>
      </c>
      <c r="G8" s="24" t="str">
        <f t="shared" ref="G8:G12" si="0">IF(C8*E8=0,"",C8*E8)</f>
        <v/>
      </c>
    </row>
    <row r="9" spans="2:7" x14ac:dyDescent="0.25">
      <c r="B9" s="14" t="s">
        <v>119</v>
      </c>
      <c r="C9" s="223"/>
      <c r="D9" s="175" t="s">
        <v>84</v>
      </c>
      <c r="E9" s="223"/>
      <c r="F9" s="5" t="s">
        <v>105</v>
      </c>
      <c r="G9" s="24" t="str">
        <f t="shared" si="0"/>
        <v/>
      </c>
    </row>
    <row r="10" spans="2:7" x14ac:dyDescent="0.25">
      <c r="B10" s="244"/>
      <c r="C10" s="223"/>
      <c r="D10" s="175" t="s">
        <v>84</v>
      </c>
      <c r="E10" s="223"/>
      <c r="F10" s="5" t="s">
        <v>105</v>
      </c>
      <c r="G10" s="24" t="str">
        <f t="shared" si="0"/>
        <v/>
      </c>
    </row>
    <row r="11" spans="2:7" x14ac:dyDescent="0.25">
      <c r="B11" s="244"/>
      <c r="C11" s="223"/>
      <c r="D11" s="175" t="s">
        <v>84</v>
      </c>
      <c r="E11" s="223"/>
      <c r="F11" s="5" t="s">
        <v>105</v>
      </c>
      <c r="G11" s="24" t="str">
        <f t="shared" si="0"/>
        <v/>
      </c>
    </row>
    <row r="12" spans="2:7" x14ac:dyDescent="0.25">
      <c r="B12" s="244"/>
      <c r="C12" s="223"/>
      <c r="D12" s="175" t="s">
        <v>84</v>
      </c>
      <c r="E12" s="223"/>
      <c r="F12" s="5" t="s">
        <v>105</v>
      </c>
      <c r="G12" s="24" t="str">
        <f t="shared" si="0"/>
        <v/>
      </c>
    </row>
    <row r="13" spans="2:7" x14ac:dyDescent="0.25">
      <c r="B13" s="14" t="s">
        <v>125</v>
      </c>
      <c r="C13" s="5"/>
      <c r="D13" s="175"/>
      <c r="E13" s="5"/>
      <c r="F13" s="5"/>
      <c r="G13" s="240"/>
    </row>
    <row r="14" spans="2:7" x14ac:dyDescent="0.25">
      <c r="B14" s="14" t="s">
        <v>125</v>
      </c>
      <c r="C14" s="5"/>
      <c r="D14" s="175"/>
      <c r="E14" s="5"/>
      <c r="F14" s="5"/>
      <c r="G14" s="240"/>
    </row>
    <row r="15" spans="2:7" x14ac:dyDescent="0.25">
      <c r="B15" s="14" t="s">
        <v>125</v>
      </c>
      <c r="C15" s="5"/>
      <c r="D15" s="175"/>
      <c r="E15" s="5"/>
      <c r="F15" s="5"/>
      <c r="G15" s="240"/>
    </row>
    <row r="16" spans="2:7" x14ac:dyDescent="0.25">
      <c r="B16" s="14"/>
      <c r="C16" s="5"/>
      <c r="D16" s="175"/>
      <c r="E16" s="5"/>
      <c r="F16" s="5"/>
      <c r="G16" s="11"/>
    </row>
    <row r="17" spans="2:7" x14ac:dyDescent="0.25">
      <c r="B17" s="13" t="s">
        <v>116</v>
      </c>
      <c r="C17" s="5"/>
      <c r="D17" s="175"/>
      <c r="E17" s="5"/>
      <c r="F17" s="5"/>
      <c r="G17" s="11"/>
    </row>
    <row r="18" spans="2:7" x14ac:dyDescent="0.25">
      <c r="B18" s="244"/>
      <c r="C18" s="223"/>
      <c r="D18" s="175" t="s">
        <v>84</v>
      </c>
      <c r="E18" s="223"/>
      <c r="F18" s="5" t="s">
        <v>105</v>
      </c>
      <c r="G18" s="24" t="str">
        <f>IF(C18*E18=0,"",C18*E18)</f>
        <v/>
      </c>
    </row>
    <row r="19" spans="2:7" x14ac:dyDescent="0.25">
      <c r="B19" s="244"/>
      <c r="C19" s="223"/>
      <c r="D19" s="175" t="s">
        <v>84</v>
      </c>
      <c r="E19" s="223"/>
      <c r="F19" s="5" t="s">
        <v>105</v>
      </c>
      <c r="G19" s="24" t="str">
        <f t="shared" ref="G19:G21" si="1">IF(C19*E19=0,"",C19*E19)</f>
        <v/>
      </c>
    </row>
    <row r="20" spans="2:7" x14ac:dyDescent="0.25">
      <c r="B20" s="244"/>
      <c r="C20" s="223"/>
      <c r="D20" s="175" t="s">
        <v>84</v>
      </c>
      <c r="E20" s="223"/>
      <c r="F20" s="5" t="s">
        <v>105</v>
      </c>
      <c r="G20" s="24" t="str">
        <f t="shared" si="1"/>
        <v/>
      </c>
    </row>
    <row r="21" spans="2:7" x14ac:dyDescent="0.25">
      <c r="B21" s="244"/>
      <c r="C21" s="223"/>
      <c r="D21" s="175" t="s">
        <v>84</v>
      </c>
      <c r="E21" s="223"/>
      <c r="F21" s="5" t="s">
        <v>105</v>
      </c>
      <c r="G21" s="24" t="str">
        <f t="shared" si="1"/>
        <v/>
      </c>
    </row>
    <row r="22" spans="2:7" x14ac:dyDescent="0.25">
      <c r="B22" s="14"/>
      <c r="C22" s="5"/>
      <c r="D22" s="175"/>
      <c r="E22" s="5"/>
      <c r="F22" s="5"/>
      <c r="G22" s="11"/>
    </row>
    <row r="23" spans="2:7" ht="16.5" thickBot="1" x14ac:dyDescent="0.3">
      <c r="B23" s="16" t="s">
        <v>112</v>
      </c>
      <c r="C23" s="5"/>
      <c r="D23" s="175"/>
      <c r="E23" s="5"/>
      <c r="F23" s="5"/>
      <c r="G23" s="78">
        <f>SUM(G7:G21)</f>
        <v>0</v>
      </c>
    </row>
    <row r="24" spans="2:7" ht="17.25" thickTop="1" thickBot="1" x14ac:dyDescent="0.3">
      <c r="B24" s="32"/>
      <c r="C24" s="6"/>
      <c r="D24" s="216"/>
      <c r="E24" s="6"/>
      <c r="F24" s="6"/>
      <c r="G24" s="12"/>
    </row>
  </sheetData>
  <sheetProtection sheet="1" objects="1" scenarios="1"/>
  <pageMargins left="0.7" right="0.7" top="0.75" bottom="0.75" header="0.3" footer="0.3"/>
  <pageSetup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Title Page</vt:lpstr>
      <vt:lpstr>Instructions</vt:lpstr>
      <vt:lpstr>Summary Budget</vt:lpstr>
      <vt:lpstr>Production Parameters</vt:lpstr>
      <vt:lpstr>Revenue</vt:lpstr>
      <vt:lpstr>Expenses - Variable</vt:lpstr>
      <vt:lpstr>Expenses - Fixed</vt:lpstr>
      <vt:lpstr>Taxes</vt:lpstr>
      <vt:lpstr>Non-Farm Adjustments</vt:lpstr>
      <vt:lpstr>Historical Budgets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Gertner</dc:creator>
  <cp:lastModifiedBy>Glennis McClure</cp:lastModifiedBy>
  <cp:lastPrinted>2021-03-26T20:06:20Z</cp:lastPrinted>
  <dcterms:created xsi:type="dcterms:W3CDTF">2020-08-10T23:16:08Z</dcterms:created>
  <dcterms:modified xsi:type="dcterms:W3CDTF">2021-11-01T18:04:58Z</dcterms:modified>
</cp:coreProperties>
</file>