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eideman3\Documents\Temporary\"/>
    </mc:Choice>
  </mc:AlternateContent>
  <bookViews>
    <workbookView xWindow="0" yWindow="0" windowWidth="19200" windowHeight="11520"/>
  </bookViews>
  <sheets>
    <sheet name="Title" sheetId="7" r:id="rId1"/>
    <sheet name="Bull vs AI" sheetId="6" r:id="rId2"/>
  </sheets>
  <definedNames>
    <definedName name="AIPregRate">'Bull vs AI'!$AD$41</definedName>
    <definedName name="AISystemPregRate">'Bull vs AI'!$Y$7</definedName>
    <definedName name="AIWeanRate">'Bull vs AI'!$Y$8</definedName>
    <definedName name="AverageBullValue">'Bull vs AI'!$H$20</definedName>
    <definedName name="BullCost">'Bull vs AI'!$D$15</definedName>
    <definedName name="BullCullValue">'Bull vs AI'!$H$19</definedName>
    <definedName name="BullDeaths">'Bull vs AI'!$D$18</definedName>
    <definedName name="BullInjury">'Bull vs AI'!$D$17</definedName>
    <definedName name="BullLife">'Bull vs AI'!$D$16</definedName>
    <definedName name="BullSalePrice">'Bull vs AI'!$D$20</definedName>
    <definedName name="BullSaleWeight">'Bull vs AI'!$D$19</definedName>
    <definedName name="CalfValue">'Bull vs AI'!$D$10</definedName>
    <definedName name="CleanupBulls">'Bull vs AI'!$Y$6</definedName>
    <definedName name="FirstAIPregRate">'Bull vs AI'!$AA$35</definedName>
    <definedName name="HerdSize">'Bull vs AI'!$D$5</definedName>
    <definedName name="InterestRate">'Bull vs AI'!$D$9</definedName>
    <definedName name="NatBulls">'Bull vs AI'!$D$6</definedName>
    <definedName name="NatPregRate">'Bull vs AI'!$D$7</definedName>
    <definedName name="NatWeanRate">'Bull vs AI'!$D$8</definedName>
    <definedName name="SecondAIPregRate">'Bull vs AI'!$AA$43</definedName>
    <definedName name="WageRate">'Bull vs AI'!$Y$9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9" i="6" l="1"/>
  <c r="F50" i="6"/>
  <c r="L35" i="6"/>
  <c r="L36" i="6"/>
  <c r="L37" i="6"/>
  <c r="L38" i="6"/>
  <c r="L39" i="6"/>
  <c r="L40" i="6"/>
  <c r="L41" i="6"/>
  <c r="L42" i="6"/>
  <c r="L43" i="6"/>
  <c r="L34" i="6"/>
  <c r="Z60" i="6" l="1"/>
  <c r="Z59" i="6"/>
  <c r="AA25" i="6" l="1"/>
  <c r="F5" i="6" l="1"/>
  <c r="AC42" i="6" l="1"/>
  <c r="Z64" i="6" l="1"/>
  <c r="Y64" i="6" s="1"/>
  <c r="Y68" i="6"/>
  <c r="Z68" i="6" s="1"/>
  <c r="AB49" i="6"/>
  <c r="AB50" i="6"/>
  <c r="AB51" i="6"/>
  <c r="AB48" i="6"/>
  <c r="AA42" i="6"/>
  <c r="AA41" i="6"/>
  <c r="AA40" i="6"/>
  <c r="AA31" i="6"/>
  <c r="AA22" i="6"/>
  <c r="AA14" i="6"/>
  <c r="M37" i="6"/>
  <c r="F51" i="6"/>
  <c r="F52" i="6"/>
  <c r="F53" i="6"/>
  <c r="F55" i="6"/>
  <c r="F49" i="6"/>
  <c r="F48" i="6"/>
  <c r="H19" i="6"/>
  <c r="E63" i="6" s="1"/>
  <c r="H20" i="6" l="1"/>
  <c r="Z67" i="6"/>
  <c r="Y67" i="6" s="1"/>
  <c r="AA6" i="6" l="1"/>
  <c r="AD41" i="6"/>
  <c r="Y5" i="6"/>
  <c r="AA34" i="6" l="1"/>
  <c r="AA33" i="6"/>
  <c r="AA32" i="6"/>
  <c r="Z63" i="6" s="1"/>
  <c r="AA26" i="6"/>
  <c r="AA24" i="6"/>
  <c r="AA23" i="6"/>
  <c r="AA17" i="6"/>
  <c r="AA16" i="6"/>
  <c r="AA15" i="6"/>
  <c r="G81" i="6"/>
  <c r="F81" i="6" s="1"/>
  <c r="E81" i="6" s="1"/>
  <c r="AA64" i="6"/>
  <c r="Y63" i="6" l="1"/>
  <c r="Y59" i="6"/>
  <c r="Y60" i="6"/>
  <c r="AA68" i="6"/>
  <c r="AA67" i="6"/>
  <c r="M35" i="6"/>
  <c r="M36" i="6"/>
  <c r="M38" i="6"/>
  <c r="M39" i="6"/>
  <c r="M40" i="6"/>
  <c r="M41" i="6"/>
  <c r="M42" i="6"/>
  <c r="M43" i="6"/>
  <c r="M34" i="6"/>
  <c r="M26" i="6"/>
  <c r="M27" i="6"/>
  <c r="M28" i="6"/>
  <c r="M29" i="6"/>
  <c r="M25" i="6"/>
  <c r="L26" i="6"/>
  <c r="L27" i="6"/>
  <c r="L28" i="6"/>
  <c r="L29" i="6"/>
  <c r="L25" i="6"/>
  <c r="E70" i="6"/>
  <c r="Y76" i="6" s="1"/>
  <c r="N25" i="6" l="1"/>
  <c r="N29" i="6"/>
  <c r="N28" i="6"/>
  <c r="N27" i="6"/>
  <c r="N26" i="6"/>
  <c r="Z65" i="6"/>
  <c r="Z76" i="6"/>
  <c r="AA76" i="6" s="1"/>
  <c r="Y83" i="6"/>
  <c r="Z83" i="6" s="1"/>
  <c r="AB83" i="6" s="1"/>
  <c r="D70" i="6"/>
  <c r="G26" i="6"/>
  <c r="E64" i="6"/>
  <c r="E65" i="6"/>
  <c r="G25" i="6"/>
  <c r="G29" i="6"/>
  <c r="G28" i="6"/>
  <c r="G27" i="6"/>
  <c r="F70" i="6" l="1"/>
  <c r="G70" i="6"/>
  <c r="I70" i="6"/>
  <c r="AA83" i="6"/>
  <c r="AA60" i="6" l="1"/>
  <c r="AA63" i="6"/>
  <c r="AA59" i="6"/>
  <c r="D63" i="6"/>
  <c r="I63" i="6" l="1"/>
  <c r="G63" i="6"/>
  <c r="F63" i="6"/>
  <c r="E67" i="6"/>
  <c r="D67" i="6" s="1"/>
  <c r="D65" i="6"/>
  <c r="N34" i="6"/>
  <c r="J34" i="6" s="1"/>
  <c r="O34" i="6" s="1"/>
  <c r="N43" i="6"/>
  <c r="J43" i="6" s="1"/>
  <c r="O43" i="6" s="1"/>
  <c r="N42" i="6"/>
  <c r="J42" i="6" s="1"/>
  <c r="O42" i="6" s="1"/>
  <c r="N41" i="6"/>
  <c r="J41" i="6" s="1"/>
  <c r="O41" i="6" s="1"/>
  <c r="N40" i="6"/>
  <c r="J40" i="6" s="1"/>
  <c r="O40" i="6" s="1"/>
  <c r="N39" i="6"/>
  <c r="J39" i="6" s="1"/>
  <c r="O39" i="6" s="1"/>
  <c r="N38" i="6"/>
  <c r="J38" i="6" s="1"/>
  <c r="O38" i="6" s="1"/>
  <c r="N37" i="6"/>
  <c r="J37" i="6" s="1"/>
  <c r="O37" i="6" s="1"/>
  <c r="N36" i="6"/>
  <c r="J36" i="6" s="1"/>
  <c r="O36" i="6" s="1"/>
  <c r="N35" i="6"/>
  <c r="J35" i="6" s="1"/>
  <c r="O35" i="6" s="1"/>
  <c r="G65" i="6" l="1"/>
  <c r="I65" i="6"/>
  <c r="F65" i="6"/>
  <c r="I67" i="6"/>
  <c r="F67" i="6"/>
  <c r="G67" i="6"/>
  <c r="AA65" i="6"/>
  <c r="Z69" i="6"/>
  <c r="AA69" i="6" s="1"/>
  <c r="E66" i="6"/>
  <c r="E68" i="6" s="1"/>
  <c r="Y75" i="6" s="1"/>
  <c r="Z75" i="6" s="1"/>
  <c r="AA75" i="6" s="1"/>
  <c r="Y65" i="6"/>
  <c r="D64" i="6"/>
  <c r="I64" i="6" l="1"/>
  <c r="F64" i="6"/>
  <c r="G64" i="6"/>
  <c r="Y82" i="6"/>
  <c r="Z82" i="6" s="1"/>
  <c r="AB82" i="6" s="1"/>
  <c r="Y69" i="6"/>
  <c r="D66" i="6"/>
  <c r="N30" i="6"/>
  <c r="AA82" i="6" l="1"/>
  <c r="I66" i="6"/>
  <c r="I68" i="6" s="1"/>
  <c r="I71" i="6" s="1"/>
  <c r="G66" i="6"/>
  <c r="G68" i="6" s="1"/>
  <c r="G71" i="6" s="1"/>
  <c r="F66" i="6"/>
  <c r="F68" i="6" s="1"/>
  <c r="F71" i="6" s="1"/>
  <c r="G80" i="6"/>
  <c r="F80" i="6" s="1"/>
  <c r="E80" i="6" s="1"/>
  <c r="D68" i="6"/>
  <c r="D71" i="6" s="1"/>
  <c r="E71" i="6" l="1"/>
  <c r="G82" i="6" l="1"/>
  <c r="AA84" i="6"/>
  <c r="Y77" i="6"/>
  <c r="AA77" i="6"/>
  <c r="Z77" i="6"/>
  <c r="F82" i="6" l="1"/>
  <c r="E82" i="6" s="1"/>
  <c r="Y84" i="6"/>
  <c r="Z87" i="6" s="1"/>
  <c r="AA87" i="6" l="1"/>
  <c r="G79" i="6"/>
  <c r="F79" i="6" s="1"/>
  <c r="AB84" i="6"/>
  <c r="Z84" i="6"/>
  <c r="F84" i="6" l="1"/>
  <c r="E84" i="6" s="1"/>
  <c r="G84" i="6"/>
</calcChain>
</file>

<file path=xl/comments1.xml><?xml version="1.0" encoding="utf-8"?>
<comments xmlns="http://schemas.openxmlformats.org/spreadsheetml/2006/main">
  <authors>
    <author>Roger Wilson</author>
  </authors>
  <commentList>
    <comment ref="B10" authorId="0" shapeId="0">
      <text>
        <r>
          <rPr>
            <b/>
            <sz val="9"/>
            <color indexed="81"/>
            <rFont val="Tahoma"/>
            <family val="2"/>
          </rPr>
          <t>Roger Wilson:</t>
        </r>
        <r>
          <rPr>
            <sz val="9"/>
            <color indexed="81"/>
            <rFont val="Tahoma"/>
            <family val="2"/>
          </rPr>
          <t xml:space="preserve">
This price changes annually so use an average price for the life of a bull</t>
        </r>
      </text>
    </comment>
    <comment ref="B17" authorId="0" shapeId="0">
      <text>
        <r>
          <rPr>
            <b/>
            <sz val="9"/>
            <color indexed="81"/>
            <rFont val="Tahoma"/>
            <family val="2"/>
          </rPr>
          <t>Roger Wilson:</t>
        </r>
        <r>
          <rPr>
            <sz val="9"/>
            <color indexed="81"/>
            <rFont val="Tahoma"/>
            <family val="2"/>
          </rPr>
          <t xml:space="preserve">
Includes bull injury and fertility failure.</t>
        </r>
      </text>
    </comment>
    <comment ref="B20" authorId="0" shapeId="0">
      <text>
        <r>
          <rPr>
            <b/>
            <sz val="9"/>
            <color indexed="81"/>
            <rFont val="Tahoma"/>
            <family val="2"/>
          </rPr>
          <t>Roger Wilson:</t>
        </r>
        <r>
          <rPr>
            <sz val="9"/>
            <color indexed="81"/>
            <rFont val="Tahoma"/>
            <family val="2"/>
          </rPr>
          <t xml:space="preserve">
This price changes annually so use an average price over the life of a bull</t>
        </r>
      </text>
    </comment>
    <comment ref="Z56" authorId="0" shapeId="0">
      <text>
        <r>
          <rPr>
            <b/>
            <sz val="9"/>
            <color indexed="81"/>
            <rFont val="Tahoma"/>
            <family val="2"/>
          </rPr>
          <t>Roger Wilson:</t>
        </r>
        <r>
          <rPr>
            <sz val="9"/>
            <color indexed="81"/>
            <rFont val="Tahoma"/>
            <family val="2"/>
          </rPr>
          <t xml:space="preserve">
AI cost per cow
in the herd.</t>
        </r>
      </text>
    </comment>
    <comment ref="AA56" authorId="0" shapeId="0">
      <text>
        <r>
          <rPr>
            <b/>
            <sz val="9"/>
            <color indexed="81"/>
            <rFont val="Tahoma"/>
            <family val="2"/>
          </rPr>
          <t>Roger Wilson:</t>
        </r>
        <r>
          <rPr>
            <sz val="9"/>
            <color indexed="81"/>
            <rFont val="Tahoma"/>
            <family val="2"/>
          </rPr>
          <t xml:space="preserve">
Cost per cow bred from AI service</t>
        </r>
      </text>
    </comment>
    <comment ref="F63" authorId="0" shapeId="0">
      <text>
        <r>
          <rPr>
            <b/>
            <sz val="9"/>
            <color indexed="81"/>
            <rFont val="Tahoma"/>
            <family val="2"/>
          </rPr>
          <t>Roger Wilson:</t>
        </r>
        <r>
          <rPr>
            <sz val="9"/>
            <color indexed="81"/>
            <rFont val="Tahoma"/>
            <family val="2"/>
          </rPr>
          <t xml:space="preserve">
All Bulls cost divided by number of females in the herd.</t>
        </r>
      </text>
    </comment>
    <comment ref="G63" authorId="0" shapeId="0">
      <text>
        <r>
          <rPr>
            <b/>
            <sz val="9"/>
            <color indexed="81"/>
            <rFont val="Tahoma"/>
            <family val="2"/>
          </rPr>
          <t>Roger Wilson:</t>
        </r>
        <r>
          <rPr>
            <sz val="9"/>
            <color indexed="81"/>
            <rFont val="Tahoma"/>
            <family val="2"/>
          </rPr>
          <t xml:space="preserve">
All bull cost divided by the number of pregnant cows.
</t>
        </r>
      </text>
    </comment>
    <comment ref="I63" authorId="0" shapeId="0">
      <text>
        <r>
          <rPr>
            <b/>
            <sz val="9"/>
            <color indexed="81"/>
            <rFont val="Tahoma"/>
            <family val="2"/>
          </rPr>
          <t>Roger Wilson:</t>
        </r>
        <r>
          <rPr>
            <sz val="9"/>
            <color indexed="81"/>
            <rFont val="Tahoma"/>
            <family val="2"/>
          </rPr>
          <t xml:space="preserve">
All bull cost divided by the product of the weaning rate and number of cows in the herd.</t>
        </r>
      </text>
    </comment>
    <comment ref="E64" authorId="0" shapeId="0">
      <text>
        <r>
          <rPr>
            <b/>
            <sz val="9"/>
            <color indexed="81"/>
            <rFont val="Tahoma"/>
            <family val="2"/>
          </rPr>
          <t>Roger Wilson:</t>
        </r>
        <r>
          <rPr>
            <sz val="9"/>
            <color indexed="81"/>
            <rFont val="Tahoma"/>
            <family val="2"/>
          </rPr>
          <t xml:space="preserve">
Percent injury rate times
 the difference between average value and cull value since animals are sold as culls. </t>
        </r>
      </text>
    </comment>
    <comment ref="E65" authorId="0" shapeId="0">
      <text>
        <r>
          <rPr>
            <b/>
            <sz val="9"/>
            <color indexed="81"/>
            <rFont val="Tahoma"/>
            <family val="2"/>
          </rPr>
          <t>Roger Wilson:</t>
        </r>
        <r>
          <rPr>
            <sz val="9"/>
            <color indexed="81"/>
            <rFont val="Tahoma"/>
            <family val="2"/>
          </rPr>
          <t xml:space="preserve">
Death rate percentage times average bull value.</t>
        </r>
      </text>
    </comment>
    <comment ref="Y75" authorId="0" shapeId="0">
      <text>
        <r>
          <rPr>
            <b/>
            <sz val="9"/>
            <color indexed="81"/>
            <rFont val="Tahoma"/>
            <family val="2"/>
          </rPr>
          <t>Roger Wilson:</t>
        </r>
        <r>
          <rPr>
            <sz val="9"/>
            <color indexed="81"/>
            <rFont val="Tahoma"/>
            <family val="2"/>
          </rPr>
          <t xml:space="preserve">
Cash costs for maintaining clean-up bulls.
</t>
        </r>
      </text>
    </comment>
    <comment ref="Z75" authorId="0" shapeId="0">
      <text>
        <r>
          <rPr>
            <b/>
            <sz val="9"/>
            <color indexed="81"/>
            <rFont val="Tahoma"/>
            <family val="2"/>
          </rPr>
          <t>Roger Wilson:</t>
        </r>
        <r>
          <rPr>
            <sz val="9"/>
            <color indexed="81"/>
            <rFont val="Tahoma"/>
            <family val="2"/>
          </rPr>
          <t xml:space="preserve">
This is the cost per cow for maintaining clean up bulls.
</t>
        </r>
      </text>
    </comment>
    <comment ref="AA75" authorId="0" shapeId="0">
      <text>
        <r>
          <rPr>
            <b/>
            <sz val="9"/>
            <color indexed="81"/>
            <rFont val="Tahoma"/>
            <family val="2"/>
          </rPr>
          <t>Roger Wilson:</t>
        </r>
        <r>
          <rPr>
            <sz val="9"/>
            <color indexed="81"/>
            <rFont val="Tahoma"/>
            <family val="2"/>
          </rPr>
          <t xml:space="preserve">
Bull cost divided by final pregnancy rate less those bred by AI.
</t>
        </r>
      </text>
    </comment>
    <comment ref="Y76" authorId="0" shapeId="0">
      <text>
        <r>
          <rPr>
            <b/>
            <sz val="9"/>
            <color indexed="81"/>
            <rFont val="Tahoma"/>
            <family val="2"/>
          </rPr>
          <t>Roger Wilson:</t>
        </r>
        <r>
          <rPr>
            <sz val="9"/>
            <color indexed="81"/>
            <rFont val="Tahoma"/>
            <family val="2"/>
          </rPr>
          <t xml:space="preserve">
Interest cost for maintaining clean-up bulls.</t>
        </r>
      </text>
    </comment>
    <comment ref="E79" authorId="0" shapeId="0">
      <text>
        <r>
          <rPr>
            <b/>
            <sz val="9"/>
            <color indexed="81"/>
            <rFont val="Tahoma"/>
            <family val="2"/>
          </rPr>
          <t>Roger Wilson:</t>
        </r>
        <r>
          <rPr>
            <sz val="9"/>
            <color indexed="81"/>
            <rFont val="Tahoma"/>
            <family val="2"/>
          </rPr>
          <t xml:space="preserve">
Value increase from using AI may be from weaning heavier calves, increased price of calves produced,  increased breeding value of retained heifers, etc. This cell provides the opportunity to include these benefits. Entering a value that is too optimistic or pessimestic will invalidate this analysis.</t>
        </r>
      </text>
    </comment>
    <comment ref="G79" authorId="0" shapeId="0">
      <text>
        <r>
          <rPr>
            <b/>
            <sz val="9"/>
            <color indexed="81"/>
            <rFont val="Tahoma"/>
            <family val="2"/>
          </rPr>
          <t>Roger Wilson:</t>
        </r>
        <r>
          <rPr>
            <sz val="9"/>
            <color indexed="81"/>
            <rFont val="Tahoma"/>
            <family val="2"/>
          </rPr>
          <t xml:space="preserve">
This is the value of the number of calves produced in the AI system plus the value of extra calves produced if calves weaned in the AI system were more than calves weaned in the natural service system.</t>
        </r>
      </text>
    </comment>
    <comment ref="E80" authorId="0" shapeId="0">
      <text>
        <r>
          <rPr>
            <b/>
            <sz val="9"/>
            <color indexed="81"/>
            <rFont val="Tahoma"/>
            <family val="2"/>
          </rPr>
          <t>Roger Wilson:</t>
        </r>
        <r>
          <rPr>
            <sz val="9"/>
            <color indexed="81"/>
            <rFont val="Tahoma"/>
            <family val="2"/>
          </rPr>
          <t xml:space="preserve">
This is per calf produced in the AI section.
</t>
        </r>
      </text>
    </comment>
    <comment ref="G80" authorId="0" shapeId="0">
      <text>
        <r>
          <rPr>
            <b/>
            <sz val="9"/>
            <color indexed="81"/>
            <rFont val="Tahoma"/>
            <family val="2"/>
          </rPr>
          <t>Roger Wilson:</t>
        </r>
        <r>
          <rPr>
            <sz val="9"/>
            <color indexed="81"/>
            <rFont val="Tahoma"/>
            <family val="2"/>
          </rPr>
          <t xml:space="preserve">
This is the AI costs (Y68) plus the extra costs for clean-up bulls in the AI system (Sum(AA42:AA45)).</t>
        </r>
      </text>
    </comment>
    <comment ref="E81" authorId="0" shapeId="0">
      <text>
        <r>
          <rPr>
            <b/>
            <sz val="9"/>
            <color indexed="81"/>
            <rFont val="Tahoma"/>
            <family val="2"/>
          </rPr>
          <t>Roger Wilson:</t>
        </r>
        <r>
          <rPr>
            <sz val="9"/>
            <color indexed="81"/>
            <rFont val="Tahoma"/>
            <family val="2"/>
          </rPr>
          <t xml:space="preserve">
This is per calf produced in the Natural Service system.
</t>
        </r>
      </text>
    </comment>
    <comment ref="G81" authorId="0" shapeId="0">
      <text>
        <r>
          <rPr>
            <b/>
            <sz val="9"/>
            <color indexed="81"/>
            <rFont val="Tahoma"/>
            <family val="2"/>
          </rPr>
          <t>Roger Wilson:</t>
        </r>
        <r>
          <rPr>
            <sz val="9"/>
            <color indexed="81"/>
            <rFont val="Tahoma"/>
            <family val="2"/>
          </rPr>
          <t xml:space="preserve">
This is the difference in value between calves produced in the Natural Service section and the AI section if more calves were produced in the Natural Service section.</t>
        </r>
      </text>
    </comment>
    <comment ref="Y81" authorId="0" shapeId="0">
      <text>
        <r>
          <rPr>
            <b/>
            <sz val="9"/>
            <color indexed="81"/>
            <rFont val="Tahoma"/>
            <family val="2"/>
          </rPr>
          <t>Roger Wilson:</t>
        </r>
        <r>
          <rPr>
            <sz val="9"/>
            <color indexed="81"/>
            <rFont val="Tahoma"/>
            <family val="2"/>
          </rPr>
          <t xml:space="preserve">
</t>
        </r>
      </text>
    </comment>
    <comment ref="E82" authorId="0" shapeId="0">
      <text>
        <r>
          <rPr>
            <b/>
            <sz val="9"/>
            <color indexed="81"/>
            <rFont val="Tahoma"/>
            <family val="2"/>
          </rPr>
          <t>Roger Wilson:</t>
        </r>
        <r>
          <rPr>
            <sz val="9"/>
            <color indexed="81"/>
            <rFont val="Tahoma"/>
            <family val="2"/>
          </rPr>
          <t xml:space="preserve">
This is per calf produced in the AI system.</t>
        </r>
      </text>
    </comment>
    <comment ref="G82" authorId="0" shapeId="0">
      <text>
        <r>
          <rPr>
            <b/>
            <sz val="9"/>
            <color indexed="81"/>
            <rFont val="Tahoma"/>
            <family val="2"/>
          </rPr>
          <t>Roger Wilson:</t>
        </r>
        <r>
          <rPr>
            <sz val="9"/>
            <color indexed="81"/>
            <rFont val="Tahoma"/>
            <family val="2"/>
          </rPr>
          <t xml:space="preserve">
This is the cost per bull (D68) times the difference in the number of bulls used in the Natural Service section (C14) and the AI system (X41).</t>
        </r>
      </text>
    </comment>
    <comment ref="Y82" authorId="0" shapeId="0">
      <text>
        <r>
          <rPr>
            <b/>
            <sz val="9"/>
            <color indexed="81"/>
            <rFont val="Tahoma"/>
            <family val="2"/>
          </rPr>
          <t>Roger Wilson:</t>
        </r>
        <r>
          <rPr>
            <sz val="9"/>
            <color indexed="81"/>
            <rFont val="Tahoma"/>
            <family val="2"/>
          </rPr>
          <t xml:space="preserve">
Total cash cost of AI (Y66) plus clean-up bull costs (y76).</t>
        </r>
      </text>
    </comment>
    <comment ref="Z82" authorId="0" shapeId="0">
      <text>
        <r>
          <rPr>
            <b/>
            <sz val="9"/>
            <color indexed="81"/>
            <rFont val="Tahoma"/>
            <family val="2"/>
          </rPr>
          <t>Roger Wilson:</t>
        </r>
        <r>
          <rPr>
            <sz val="9"/>
            <color indexed="81"/>
            <rFont val="Tahoma"/>
            <family val="2"/>
          </rPr>
          <t xml:space="preserve">
Bull cost for the herd (Y78) divided by number of females in the herd (C6).
</t>
        </r>
      </text>
    </comment>
    <comment ref="AA82" authorId="0" shapeId="0">
      <text>
        <r>
          <rPr>
            <b/>
            <sz val="9"/>
            <color indexed="81"/>
            <rFont val="Tahoma"/>
            <family val="2"/>
          </rPr>
          <t>Roger Wilson:</t>
        </r>
        <r>
          <rPr>
            <sz val="9"/>
            <color indexed="81"/>
            <rFont val="Tahoma"/>
            <family val="2"/>
          </rPr>
          <t xml:space="preserve">
Breeding cost per cow divided by pregnancy rate (Y42) of cows in the AI system.</t>
        </r>
      </text>
    </comment>
    <comment ref="AB82" authorId="0" shapeId="0">
      <text>
        <r>
          <rPr>
            <b/>
            <sz val="9"/>
            <color indexed="81"/>
            <rFont val="Tahoma"/>
            <family val="2"/>
          </rPr>
          <t>Roger Wilson:</t>
        </r>
        <r>
          <rPr>
            <sz val="9"/>
            <color indexed="81"/>
            <rFont val="Tahoma"/>
            <family val="2"/>
          </rPr>
          <t xml:space="preserve">
Breeding cost per head for the herd (Z83) divided by weaning rate for AI system (Y43).</t>
        </r>
      </text>
    </comment>
    <comment ref="Y83" authorId="0" shapeId="0">
      <text>
        <r>
          <rPr>
            <b/>
            <sz val="9"/>
            <color indexed="81"/>
            <rFont val="Tahoma"/>
            <family val="2"/>
          </rPr>
          <t>Roger Wilson:</t>
        </r>
        <r>
          <rPr>
            <sz val="9"/>
            <color indexed="81"/>
            <rFont val="Tahoma"/>
            <family val="2"/>
          </rPr>
          <t xml:space="preserve">
Sum of AI and clean-up bull opportunity costs above.
</t>
        </r>
      </text>
    </comment>
    <comment ref="E84" authorId="0" shapeId="0">
      <text>
        <r>
          <rPr>
            <b/>
            <sz val="9"/>
            <color indexed="81"/>
            <rFont val="Tahoma"/>
            <family val="2"/>
          </rPr>
          <t>Roger Wilson:</t>
        </r>
        <r>
          <rPr>
            <sz val="9"/>
            <color indexed="81"/>
            <rFont val="Tahoma"/>
            <family val="2"/>
          </rPr>
          <t xml:space="preserve">
This is per calf produced in the AI section.
</t>
        </r>
      </text>
    </comment>
  </commentList>
</comments>
</file>

<file path=xl/sharedStrings.xml><?xml version="1.0" encoding="utf-8"?>
<sst xmlns="http://schemas.openxmlformats.org/spreadsheetml/2006/main" count="277" uniqueCount="156">
  <si>
    <t>Number of cows in the herd</t>
  </si>
  <si>
    <t>head</t>
  </si>
  <si>
    <t>%</t>
  </si>
  <si>
    <t>Bulls needed</t>
  </si>
  <si>
    <t>Bull cost (including delivery)</t>
  </si>
  <si>
    <t>Cull bull sale weight</t>
  </si>
  <si>
    <t>Bull death loss</t>
  </si>
  <si>
    <t>Average years bulls used</t>
  </si>
  <si>
    <t>Cull bull sale price</t>
  </si>
  <si>
    <t>years</t>
  </si>
  <si>
    <t>pounds</t>
  </si>
  <si>
    <t>$/cwt</t>
  </si>
  <si>
    <t>Growing season</t>
  </si>
  <si>
    <t>days</t>
  </si>
  <si>
    <t>months</t>
  </si>
  <si>
    <t>Dormant season</t>
  </si>
  <si>
    <t>Price</t>
  </si>
  <si>
    <t>Time</t>
  </si>
  <si>
    <t>per day</t>
  </si>
  <si>
    <t>per month</t>
  </si>
  <si>
    <t>total</t>
  </si>
  <si>
    <t>Amount</t>
  </si>
  <si>
    <t>cwt</t>
  </si>
  <si>
    <t>tons</t>
  </si>
  <si>
    <t>bushel</t>
  </si>
  <si>
    <t>Period</t>
  </si>
  <si>
    <t>Measure</t>
  </si>
  <si>
    <t>Per Head or Total</t>
  </si>
  <si>
    <t>per head</t>
  </si>
  <si>
    <t>per cwt</t>
  </si>
  <si>
    <t>per bushel</t>
  </si>
  <si>
    <t>per pound</t>
  </si>
  <si>
    <t>per ton</t>
  </si>
  <si>
    <t>per Unit</t>
  </si>
  <si>
    <t>Veterinarian</t>
  </si>
  <si>
    <t>Marketing culls</t>
  </si>
  <si>
    <t>Labor and management</t>
  </si>
  <si>
    <t>Insurance</t>
  </si>
  <si>
    <t>one time</t>
  </si>
  <si>
    <t>per Period</t>
  </si>
  <si>
    <t>Total</t>
  </si>
  <si>
    <t>Days</t>
  </si>
  <si>
    <t>$ / Day</t>
  </si>
  <si>
    <t>Total $</t>
  </si>
  <si>
    <t>Total Grazing</t>
  </si>
  <si>
    <t>Corn Stalks</t>
  </si>
  <si>
    <t>Hay</t>
  </si>
  <si>
    <t>Price per Pound</t>
  </si>
  <si>
    <t>Herd Total</t>
  </si>
  <si>
    <t>Description</t>
  </si>
  <si>
    <t>Supplement</t>
  </si>
  <si>
    <t>Salt and Mineral</t>
  </si>
  <si>
    <t>Miscellaneous</t>
  </si>
  <si>
    <t>Building Costs</t>
  </si>
  <si>
    <t>OTHER COST</t>
  </si>
  <si>
    <t>BULL INFO</t>
  </si>
  <si>
    <t>all bulls</t>
  </si>
  <si>
    <t>per Bull</t>
  </si>
  <si>
    <t>per year</t>
  </si>
  <si>
    <t>per Bull per year</t>
  </si>
  <si>
    <t>Injury Loss</t>
  </si>
  <si>
    <t>Cull Value</t>
  </si>
  <si>
    <t>Average Value</t>
  </si>
  <si>
    <t>Death Loss</t>
  </si>
  <si>
    <t>Feed</t>
  </si>
  <si>
    <t>Other Cash</t>
  </si>
  <si>
    <t>Total Cash</t>
  </si>
  <si>
    <t>All Bulls</t>
  </si>
  <si>
    <t>per Cow</t>
  </si>
  <si>
    <t>BULL COST SUMMARY (Per Year)</t>
  </si>
  <si>
    <t>hours per</t>
  </si>
  <si>
    <t>all cows</t>
  </si>
  <si>
    <t>dollars per</t>
  </si>
  <si>
    <t>$ / Hr</t>
  </si>
  <si>
    <t>FIRST SERVICE</t>
  </si>
  <si>
    <t>SECOND SERVICE</t>
  </si>
  <si>
    <t>Beg. Value</t>
  </si>
  <si>
    <t>End Value</t>
  </si>
  <si>
    <t>Life</t>
  </si>
  <si>
    <t>Annual Maint-enance</t>
  </si>
  <si>
    <t>AI EQUIPMENT AND FACILITIES</t>
  </si>
  <si>
    <t>Cows Bred after First Service</t>
  </si>
  <si>
    <t>per Cow per Year</t>
  </si>
  <si>
    <r>
      <t>HEAT DETECTION</t>
    </r>
    <r>
      <rPr>
        <sz val="14"/>
        <color theme="1"/>
        <rFont val="Calibri"/>
        <family val="2"/>
        <scheme val="minor"/>
      </rPr>
      <t xml:space="preserve"> (for all breeding periods)</t>
    </r>
  </si>
  <si>
    <t>bull</t>
  </si>
  <si>
    <t>BREEDING COST SUMMARY (Per Year)</t>
  </si>
  <si>
    <t>Sychronization</t>
  </si>
  <si>
    <t>Heat Detection</t>
  </si>
  <si>
    <t>AI Service</t>
  </si>
  <si>
    <t>Equipment and Facilities</t>
  </si>
  <si>
    <t>AI</t>
  </si>
  <si>
    <t>Herd</t>
  </si>
  <si>
    <t>Natural Service Costs</t>
  </si>
  <si>
    <t>AI Costs</t>
  </si>
  <si>
    <t>per Calf Produced</t>
  </si>
  <si>
    <t>per cow</t>
  </si>
  <si>
    <t>per calf</t>
  </si>
  <si>
    <t>Herd       Total</t>
  </si>
  <si>
    <t>Feed Additive</t>
  </si>
  <si>
    <t>Materials</t>
  </si>
  <si>
    <t>Technician</t>
  </si>
  <si>
    <t>AI Corrals and Chutes</t>
  </si>
  <si>
    <t>Nitrogen Tank</t>
  </si>
  <si>
    <t>Semen</t>
  </si>
  <si>
    <t>$ / head</t>
  </si>
  <si>
    <t>year</t>
  </si>
  <si>
    <t>Pounds per Bull per Day</t>
  </si>
  <si>
    <t>Corn</t>
  </si>
  <si>
    <t>Annual Purchases Minus Culls</t>
  </si>
  <si>
    <t>Written by</t>
  </si>
  <si>
    <t>Roger Wilson</t>
  </si>
  <si>
    <t>University of Nebraska - Agricultural Economics Department</t>
  </si>
  <si>
    <t>Lincoln, NE  68583-0922</t>
  </si>
  <si>
    <t>Matt Stockton</t>
  </si>
  <si>
    <t>SYNCHRONIZATION</t>
  </si>
  <si>
    <t>Interest on Investment</t>
  </si>
  <si>
    <t>Cost of AI</t>
  </si>
  <si>
    <t>Expected Net Gain from AI</t>
  </si>
  <si>
    <t>Interest rate</t>
  </si>
  <si>
    <t>Calf value</t>
  </si>
  <si>
    <t>per Pregnant Cow</t>
  </si>
  <si>
    <t>per Cow in the Herd</t>
  </si>
  <si>
    <t>Depreciation on Equipment and Facilities</t>
  </si>
  <si>
    <t>Interest on AI Equipment Investment</t>
  </si>
  <si>
    <t>Interest on Bull Investment</t>
  </si>
  <si>
    <t>All Cash Costs</t>
  </si>
  <si>
    <t>All Interest and Depreciation Costs</t>
  </si>
  <si>
    <t>per Calf Weaned</t>
  </si>
  <si>
    <t>Cash Cost</t>
  </si>
  <si>
    <t>Breeding Cost</t>
  </si>
  <si>
    <t>Cow-Q-Lator</t>
  </si>
  <si>
    <t>Aaron Berger</t>
  </si>
  <si>
    <t>Clean-up Bulls needed</t>
  </si>
  <si>
    <t>per Cow Bred Using AI</t>
  </si>
  <si>
    <t>per Cow Bred Using Clean-up Bulls</t>
  </si>
  <si>
    <t>non-bred cow</t>
  </si>
  <si>
    <t>Total Cows Bred in First and Second Service</t>
  </si>
  <si>
    <t>PARTIAL BUDGET ANALYSIS SHOWING AI COSTS COMPARED TO NATURAL SERVICE</t>
  </si>
  <si>
    <t>CLEAN-UP BULLS</t>
  </si>
  <si>
    <t>TOTAL BREEDING COST</t>
  </si>
  <si>
    <t>Increased Value from AI</t>
  </si>
  <si>
    <t>GENERAL: Natural Service Only</t>
  </si>
  <si>
    <t>GENERAL: AI and  cleanup natural service</t>
  </si>
  <si>
    <t>Percent calf crop</t>
  </si>
  <si>
    <t>Bad bull loss</t>
  </si>
  <si>
    <t>End of season pregnancy rate</t>
  </si>
  <si>
    <t>GRAZING COST (per bull)</t>
  </si>
  <si>
    <t>OTHER FEED COST</t>
  </si>
  <si>
    <t>Labor</t>
  </si>
  <si>
    <t>Wage rate for AI activities</t>
  </si>
  <si>
    <t>per Cow Inseminated</t>
  </si>
  <si>
    <t xml:space="preserve">Reduced Income if Pregnancy Rate Decreases with AI </t>
  </si>
  <si>
    <t>Reduced Cost for Fewer Bulls</t>
  </si>
  <si>
    <t>One Time or Annually</t>
  </si>
  <si>
    <t>annually</t>
  </si>
  <si>
    <t>ver. 15 5 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</si>
</sst>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_(* #,##0_);_(* \(#,##0\);_(* &quot;-&quot;??_);_(@_)"/>
    <numFmt numFmtId="166" formatCode="_(* #,##0.000_);_(* \(#,##0.000\);_(* &quot;-&quot;??_);_(@_)"/>
  </numFmts>
  <fonts count="23" x14ac:knownFonts="1">
    <font>
      <sz val="12"/>
      <color theme="1"/>
      <name val="Calibri"/>
      <family val="2"/>
      <scheme val="minor"/>
    </font>
    <font>
      <sz val="12"/>
      <color theme="1"/>
      <name val="Calibri"/>
      <family val="2"/>
      <scheme val="minor"/>
    </font>
    <font>
      <sz val="26"/>
      <color theme="1"/>
      <name val="Calibri"/>
      <family val="2"/>
      <scheme val="minor"/>
    </font>
    <font>
      <b/>
      <sz val="14"/>
      <color theme="1"/>
      <name val="Calibri"/>
      <family val="2"/>
      <scheme val="minor"/>
    </font>
    <font>
      <b/>
      <sz val="12"/>
      <color theme="1"/>
      <name val="Calibri"/>
      <family val="2"/>
      <scheme val="minor"/>
    </font>
    <font>
      <b/>
      <sz val="12"/>
      <color rgb="FF0066FF"/>
      <name val="Calibri"/>
      <family val="2"/>
      <scheme val="minor"/>
    </font>
    <font>
      <sz val="18"/>
      <color theme="1"/>
      <name val="Calibri"/>
      <family val="2"/>
      <scheme val="minor"/>
    </font>
    <font>
      <b/>
      <sz val="12"/>
      <name val="Calibri"/>
      <family val="2"/>
      <scheme val="minor"/>
    </font>
    <font>
      <sz val="12"/>
      <name val="Calibri"/>
      <family val="2"/>
      <scheme val="minor"/>
    </font>
    <font>
      <sz val="12"/>
      <color rgb="FFFF0000"/>
      <name val="Calibri"/>
      <family val="2"/>
      <scheme val="minor"/>
    </font>
    <font>
      <sz val="14"/>
      <color theme="1"/>
      <name val="Calibri"/>
      <family val="2"/>
      <scheme val="minor"/>
    </font>
    <font>
      <sz val="9"/>
      <color indexed="81"/>
      <name val="Tahoma"/>
      <family val="2"/>
    </font>
    <font>
      <b/>
      <sz val="9"/>
      <color indexed="81"/>
      <name val="Tahoma"/>
      <family val="2"/>
    </font>
    <font>
      <b/>
      <sz val="20"/>
      <color theme="1"/>
      <name val="Arial"/>
      <family val="2"/>
    </font>
    <font>
      <sz val="24"/>
      <color rgb="FF0000FF"/>
      <name val="Arial Rounded MT Bold"/>
      <family val="2"/>
    </font>
    <font>
      <sz val="14"/>
      <color theme="1"/>
      <name val="Arial"/>
      <family val="2"/>
    </font>
    <font>
      <b/>
      <sz val="12"/>
      <color rgb="FFFF0000"/>
      <name val="Calibri"/>
      <family val="2"/>
      <scheme val="minor"/>
    </font>
    <font>
      <sz val="18"/>
      <color theme="1"/>
      <name val="Arial"/>
      <family val="2"/>
    </font>
    <font>
      <b/>
      <sz val="60"/>
      <color rgb="FF0000FF"/>
      <name val="Calibri"/>
      <family val="2"/>
      <scheme val="minor"/>
    </font>
    <font>
      <b/>
      <sz val="14"/>
      <color rgb="FF0066FF"/>
      <name val="Calibri"/>
      <family val="2"/>
      <scheme val="minor"/>
    </font>
    <font>
      <b/>
      <sz val="12"/>
      <color theme="0"/>
      <name val="Calibri"/>
      <family val="2"/>
      <scheme val="minor"/>
    </font>
    <font>
      <sz val="12"/>
      <color theme="0"/>
      <name val="Calibri"/>
      <family val="2"/>
      <scheme val="minor"/>
    </font>
    <font>
      <sz val="26"/>
      <color theme="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99"/>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CC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54">
    <xf numFmtId="0" fontId="0" fillId="0" borderId="0" xfId="0"/>
    <xf numFmtId="0" fontId="0" fillId="2" borderId="1" xfId="0" applyFill="1" applyBorder="1"/>
    <xf numFmtId="0" fontId="0" fillId="3" borderId="0" xfId="0" applyFill="1"/>
    <xf numFmtId="164" fontId="0" fillId="3" borderId="0" xfId="0" applyNumberFormat="1" applyFill="1"/>
    <xf numFmtId="0" fontId="0" fillId="3" borderId="0" xfId="0" applyFill="1" applyAlignment="1">
      <alignment horizontal="right"/>
    </xf>
    <xf numFmtId="0" fontId="0" fillId="3" borderId="0" xfId="0" applyFill="1" applyBorder="1" applyAlignment="1">
      <alignment horizontal="center"/>
    </xf>
    <xf numFmtId="44" fontId="0" fillId="3" borderId="0" xfId="2" applyFont="1" applyFill="1"/>
    <xf numFmtId="2" fontId="0" fillId="3" borderId="0" xfId="0" applyNumberFormat="1" applyFill="1"/>
    <xf numFmtId="165" fontId="0" fillId="3" borderId="0" xfId="0" applyNumberFormat="1" applyFill="1"/>
    <xf numFmtId="165" fontId="0" fillId="3" borderId="2" xfId="0" applyNumberFormat="1" applyFill="1" applyBorder="1"/>
    <xf numFmtId="0" fontId="0" fillId="3" borderId="0" xfId="0" applyFill="1" applyBorder="1" applyAlignment="1">
      <alignment horizontal="right"/>
    </xf>
    <xf numFmtId="0" fontId="0" fillId="3" borderId="0" xfId="0" applyFill="1" applyBorder="1"/>
    <xf numFmtId="0" fontId="0" fillId="3" borderId="0" xfId="0" applyFill="1" applyAlignment="1">
      <alignment horizontal="center" wrapText="1"/>
    </xf>
    <xf numFmtId="0" fontId="0" fillId="0" borderId="1" xfId="0" applyFill="1" applyBorder="1"/>
    <xf numFmtId="0" fontId="0" fillId="4" borderId="0" xfId="0" applyFill="1"/>
    <xf numFmtId="3" fontId="0" fillId="0" borderId="1" xfId="0" applyNumberFormat="1" applyFill="1" applyBorder="1"/>
    <xf numFmtId="0" fontId="0" fillId="2" borderId="19" xfId="0" applyFill="1" applyBorder="1"/>
    <xf numFmtId="4" fontId="0" fillId="0" borderId="1" xfId="0" applyNumberFormat="1" applyFill="1" applyBorder="1"/>
    <xf numFmtId="0" fontId="0" fillId="3" borderId="0" xfId="0" applyFill="1" applyAlignment="1">
      <alignment horizontal="center"/>
    </xf>
    <xf numFmtId="166" fontId="0" fillId="3" borderId="0" xfId="1" applyNumberFormat="1" applyFont="1" applyFill="1"/>
    <xf numFmtId="3" fontId="0" fillId="0" borderId="1" xfId="0" applyNumberFormat="1" applyFill="1" applyBorder="1"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4" borderId="0" xfId="0" applyFont="1" applyFill="1"/>
    <xf numFmtId="0" fontId="0" fillId="3" borderId="0" xfId="0" applyFont="1" applyFill="1"/>
    <xf numFmtId="0" fontId="0" fillId="4" borderId="0" xfId="0" applyFill="1" applyAlignment="1">
      <alignment horizontal="center"/>
    </xf>
    <xf numFmtId="0" fontId="0" fillId="3" borderId="0" xfId="0" applyFill="1" applyAlignment="1">
      <alignment horizontal="center"/>
    </xf>
    <xf numFmtId="0" fontId="0" fillId="5" borderId="0" xfId="0" applyFill="1"/>
    <xf numFmtId="0" fontId="0" fillId="5" borderId="0" xfId="0" applyFont="1" applyFill="1"/>
    <xf numFmtId="0" fontId="16" fillId="4" borderId="0" xfId="0" applyFont="1" applyFill="1" applyBorder="1" applyAlignment="1">
      <alignment horizontal="center" wrapText="1"/>
    </xf>
    <xf numFmtId="0" fontId="0" fillId="6" borderId="0" xfId="0" applyFill="1" applyBorder="1"/>
    <xf numFmtId="0" fontId="4" fillId="6" borderId="0" xfId="0" applyFont="1" applyFill="1" applyBorder="1" applyAlignment="1">
      <alignment horizontal="right"/>
    </xf>
    <xf numFmtId="43" fontId="4" fillId="6" borderId="0" xfId="1" applyNumberFormat="1" applyFont="1" applyFill="1" applyBorder="1" applyAlignment="1">
      <alignment horizontal="center"/>
    </xf>
    <xf numFmtId="165" fontId="4" fillId="6" borderId="0" xfId="1" applyNumberFormat="1" applyFont="1" applyFill="1" applyBorder="1" applyAlignment="1">
      <alignment horizontal="center"/>
    </xf>
    <xf numFmtId="43" fontId="4" fillId="6" borderId="2" xfId="1" applyNumberFormat="1" applyFont="1" applyFill="1" applyBorder="1" applyAlignment="1">
      <alignment horizontal="center"/>
    </xf>
    <xf numFmtId="165" fontId="4" fillId="6" borderId="2" xfId="1" applyNumberFormat="1" applyFont="1" applyFill="1" applyBorder="1" applyAlignment="1">
      <alignment horizontal="center"/>
    </xf>
    <xf numFmtId="0" fontId="16" fillId="4" borderId="0" xfId="0" applyFont="1" applyFill="1" applyBorder="1" applyAlignment="1">
      <alignment horizontal="center" vertical="center" wrapText="1"/>
    </xf>
    <xf numFmtId="3" fontId="0" fillId="0" borderId="1" xfId="0" applyNumberFormat="1" applyFill="1" applyBorder="1" applyAlignment="1">
      <alignment vertical="center"/>
    </xf>
    <xf numFmtId="0" fontId="0" fillId="0" borderId="1" xfId="0" applyFill="1" applyBorder="1" applyAlignment="1">
      <alignment vertical="center"/>
    </xf>
    <xf numFmtId="2" fontId="0" fillId="0" borderId="18" xfId="0" applyNumberFormat="1" applyFont="1" applyFill="1" applyBorder="1"/>
    <xf numFmtId="0" fontId="0" fillId="7" borderId="0" xfId="0" applyFill="1"/>
    <xf numFmtId="0" fontId="0" fillId="3" borderId="0" xfId="0" applyFill="1" applyAlignment="1">
      <alignment vertical="center"/>
    </xf>
    <xf numFmtId="0" fontId="0" fillId="5" borderId="0" xfId="0" applyFill="1" applyAlignment="1">
      <alignment vertical="center"/>
    </xf>
    <xf numFmtId="0" fontId="0" fillId="7" borderId="0" xfId="0" applyFont="1" applyFill="1"/>
    <xf numFmtId="0" fontId="0" fillId="7" borderId="0" xfId="0" applyFill="1" applyAlignment="1">
      <alignment horizontal="center"/>
    </xf>
    <xf numFmtId="0" fontId="0" fillId="7" borderId="0" xfId="0" applyFill="1" applyAlignment="1">
      <alignment vertical="center"/>
    </xf>
    <xf numFmtId="0" fontId="0" fillId="4" borderId="0" xfId="0" applyFill="1" applyAlignment="1">
      <alignment vertical="center"/>
    </xf>
    <xf numFmtId="0" fontId="0" fillId="8" borderId="0" xfId="0" applyFill="1" applyBorder="1" applyAlignment="1">
      <alignment vertical="center"/>
    </xf>
    <xf numFmtId="0" fontId="0" fillId="8" borderId="3" xfId="0" applyFill="1" applyBorder="1" applyAlignment="1">
      <alignment vertical="center"/>
    </xf>
    <xf numFmtId="0" fontId="0" fillId="8" borderId="16" xfId="0" applyFill="1" applyBorder="1" applyAlignment="1">
      <alignment vertical="center"/>
    </xf>
    <xf numFmtId="0" fontId="0" fillId="8" borderId="3" xfId="0" applyFill="1" applyBorder="1"/>
    <xf numFmtId="0" fontId="0" fillId="8" borderId="0" xfId="0" applyFill="1" applyBorder="1"/>
    <xf numFmtId="0" fontId="0" fillId="8" borderId="16" xfId="0" applyFill="1" applyBorder="1"/>
    <xf numFmtId="0" fontId="16" fillId="8" borderId="0" xfId="0" applyFont="1" applyFill="1" applyBorder="1" applyAlignment="1">
      <alignment vertical="center" wrapText="1"/>
    </xf>
    <xf numFmtId="0" fontId="0" fillId="8" borderId="16" xfId="0" applyFill="1" applyBorder="1" applyAlignment="1">
      <alignment horizontal="right"/>
    </xf>
    <xf numFmtId="0" fontId="4" fillId="8" borderId="20" xfId="0" applyFont="1" applyFill="1" applyBorder="1" applyAlignment="1">
      <alignment vertical="center" wrapText="1"/>
    </xf>
    <xf numFmtId="0" fontId="4" fillId="8" borderId="20" xfId="0" applyFont="1" applyFill="1" applyBorder="1" applyAlignment="1">
      <alignment wrapText="1"/>
    </xf>
    <xf numFmtId="0" fontId="4" fillId="8" borderId="3" xfId="0" applyFont="1" applyFill="1" applyBorder="1" applyAlignment="1">
      <alignment wrapText="1"/>
    </xf>
    <xf numFmtId="0" fontId="4" fillId="8" borderId="0" xfId="0" applyFont="1" applyFill="1" applyBorder="1" applyAlignment="1">
      <alignment wrapText="1"/>
    </xf>
    <xf numFmtId="0" fontId="6" fillId="8" borderId="3" xfId="0" applyFont="1" applyFill="1" applyBorder="1" applyAlignment="1">
      <alignment vertical="center"/>
    </xf>
    <xf numFmtId="0" fontId="4" fillId="8" borderId="0" xfId="0" applyFont="1" applyFill="1" applyBorder="1" applyAlignment="1">
      <alignment vertical="center" wrapText="1"/>
    </xf>
    <xf numFmtId="0" fontId="16" fillId="8" borderId="0" xfId="0" applyFont="1" applyFill="1" applyBorder="1" applyAlignment="1">
      <alignment horizontal="center" vertical="center" wrapText="1"/>
    </xf>
    <xf numFmtId="0" fontId="6" fillId="8" borderId="0" xfId="0" applyFont="1" applyFill="1" applyBorder="1" applyAlignment="1">
      <alignment vertical="center"/>
    </xf>
    <xf numFmtId="0" fontId="0" fillId="8" borderId="1" xfId="0" applyFill="1" applyBorder="1" applyAlignment="1">
      <alignment horizontal="center"/>
    </xf>
    <xf numFmtId="0" fontId="0" fillId="8" borderId="16" xfId="0" applyFill="1" applyBorder="1" applyAlignment="1">
      <alignment horizontal="center"/>
    </xf>
    <xf numFmtId="0" fontId="0" fillId="8" borderId="0" xfId="0" applyFont="1" applyFill="1" applyBorder="1" applyAlignment="1">
      <alignment horizontal="right" vertical="center"/>
    </xf>
    <xf numFmtId="0" fontId="0" fillId="8" borderId="16" xfId="0" applyFont="1" applyFill="1" applyBorder="1" applyAlignment="1">
      <alignment horizontal="right" vertical="center"/>
    </xf>
    <xf numFmtId="0" fontId="4" fillId="8" borderId="0" xfId="0" applyFont="1" applyFill="1" applyBorder="1" applyAlignment="1">
      <alignment horizontal="center"/>
    </xf>
    <xf numFmtId="0" fontId="0" fillId="8" borderId="25" xfId="0" applyFill="1" applyBorder="1" applyAlignment="1">
      <alignment vertical="center"/>
    </xf>
    <xf numFmtId="0" fontId="0" fillId="8" borderId="8" xfId="0" applyFill="1" applyBorder="1" applyAlignment="1">
      <alignment vertical="center"/>
    </xf>
    <xf numFmtId="0" fontId="0" fillId="8" borderId="7" xfId="0" applyFill="1" applyBorder="1" applyAlignment="1">
      <alignment vertical="center"/>
    </xf>
    <xf numFmtId="0" fontId="0" fillId="8" borderId="7" xfId="0" applyFill="1" applyBorder="1"/>
    <xf numFmtId="0" fontId="0" fillId="8" borderId="26" xfId="0" applyFill="1" applyBorder="1" applyAlignment="1">
      <alignment vertical="center"/>
    </xf>
    <xf numFmtId="0" fontId="0" fillId="8" borderId="27" xfId="0" applyFill="1" applyBorder="1" applyAlignment="1">
      <alignment vertical="center"/>
    </xf>
    <xf numFmtId="0" fontId="0" fillId="8" borderId="25" xfId="0" applyFill="1" applyBorder="1"/>
    <xf numFmtId="0" fontId="0" fillId="8" borderId="8" xfId="0" applyFill="1" applyBorder="1"/>
    <xf numFmtId="0" fontId="0" fillId="8" borderId="26" xfId="0" applyFill="1" applyBorder="1"/>
    <xf numFmtId="0" fontId="0" fillId="8" borderId="27" xfId="0" applyFill="1" applyBorder="1"/>
    <xf numFmtId="0" fontId="0" fillId="8" borderId="28" xfId="0" applyFill="1" applyBorder="1"/>
    <xf numFmtId="0" fontId="0" fillId="0" borderId="28" xfId="0" applyFill="1" applyBorder="1"/>
    <xf numFmtId="0" fontId="4" fillId="8" borderId="30" xfId="0" applyFont="1" applyFill="1" applyBorder="1" applyAlignment="1">
      <alignment wrapText="1"/>
    </xf>
    <xf numFmtId="0" fontId="4" fillId="8" borderId="25" xfId="0" applyFont="1" applyFill="1" applyBorder="1" applyAlignment="1">
      <alignment wrapText="1"/>
    </xf>
    <xf numFmtId="0" fontId="4" fillId="8" borderId="8" xfId="0" applyFont="1" applyFill="1" applyBorder="1" applyAlignment="1">
      <alignment wrapText="1"/>
    </xf>
    <xf numFmtId="0" fontId="0" fillId="8" borderId="10" xfId="0" applyFill="1" applyBorder="1"/>
    <xf numFmtId="0" fontId="0" fillId="8" borderId="11" xfId="0" applyFill="1" applyBorder="1"/>
    <xf numFmtId="0" fontId="4" fillId="8" borderId="11" xfId="0" applyFont="1" applyFill="1" applyBorder="1" applyAlignment="1">
      <alignment wrapText="1"/>
    </xf>
    <xf numFmtId="0" fontId="0" fillId="8" borderId="12" xfId="0" applyFill="1" applyBorder="1"/>
    <xf numFmtId="0" fontId="6" fillId="8" borderId="25" xfId="0" applyFont="1" applyFill="1" applyBorder="1" applyAlignment="1">
      <alignment vertical="center"/>
    </xf>
    <xf numFmtId="0" fontId="16" fillId="8" borderId="8" xfId="0" applyFont="1" applyFill="1" applyBorder="1" applyAlignment="1">
      <alignment vertical="center" wrapText="1"/>
    </xf>
    <xf numFmtId="0" fontId="16" fillId="8" borderId="8" xfId="0" applyFont="1" applyFill="1" applyBorder="1" applyAlignment="1">
      <alignment horizontal="center" vertical="center" wrapText="1"/>
    </xf>
    <xf numFmtId="0" fontId="9" fillId="8" borderId="26" xfId="0" applyFont="1" applyFill="1" applyBorder="1" applyAlignment="1">
      <alignment vertical="center"/>
    </xf>
    <xf numFmtId="0" fontId="6" fillId="8" borderId="8" xfId="0" applyFont="1" applyFill="1" applyBorder="1" applyAlignment="1">
      <alignment vertical="center"/>
    </xf>
    <xf numFmtId="0" fontId="4" fillId="8" borderId="7" xfId="0" applyFont="1" applyFill="1" applyBorder="1"/>
    <xf numFmtId="0" fontId="0" fillId="8" borderId="10" xfId="0" applyFont="1" applyFill="1" applyBorder="1"/>
    <xf numFmtId="0" fontId="0" fillId="8" borderId="11" xfId="0" applyFont="1" applyFill="1" applyBorder="1"/>
    <xf numFmtId="0" fontId="0" fillId="8" borderId="11" xfId="0" applyFont="1" applyFill="1" applyBorder="1" applyAlignment="1">
      <alignment horizontal="center"/>
    </xf>
    <xf numFmtId="0" fontId="0" fillId="6" borderId="7" xfId="0" applyFill="1" applyBorder="1"/>
    <xf numFmtId="0" fontId="0" fillId="6" borderId="8" xfId="0" applyFill="1" applyBorder="1"/>
    <xf numFmtId="0" fontId="0" fillId="6" borderId="10" xfId="0" applyFill="1" applyBorder="1"/>
    <xf numFmtId="0" fontId="0" fillId="6" borderId="11" xfId="0" applyFill="1" applyBorder="1"/>
    <xf numFmtId="0" fontId="0" fillId="6" borderId="12" xfId="0" applyFill="1" applyBorder="1"/>
    <xf numFmtId="0" fontId="0" fillId="8" borderId="4" xfId="0" applyFill="1" applyBorder="1"/>
    <xf numFmtId="0" fontId="0" fillId="8" borderId="5" xfId="0" applyFill="1" applyBorder="1"/>
    <xf numFmtId="0" fontId="0" fillId="8" borderId="6" xfId="0" applyFill="1" applyBorder="1"/>
    <xf numFmtId="0" fontId="21" fillId="7" borderId="13" xfId="0" applyFont="1" applyFill="1" applyBorder="1"/>
    <xf numFmtId="0" fontId="20" fillId="7" borderId="3" xfId="0" applyFont="1" applyFill="1" applyBorder="1" applyAlignment="1">
      <alignment horizontal="right"/>
    </xf>
    <xf numFmtId="0" fontId="21" fillId="7" borderId="15" xfId="0" applyFont="1" applyFill="1" applyBorder="1"/>
    <xf numFmtId="0" fontId="20" fillId="7" borderId="16" xfId="0" applyFont="1" applyFill="1" applyBorder="1" applyAlignment="1">
      <alignment horizontal="right"/>
    </xf>
    <xf numFmtId="165" fontId="20" fillId="7" borderId="1" xfId="0" applyNumberFormat="1" applyFont="1" applyFill="1" applyBorder="1"/>
    <xf numFmtId="2" fontId="20" fillId="7" borderId="1" xfId="0" applyNumberFormat="1" applyFont="1" applyFill="1" applyBorder="1" applyAlignment="1">
      <alignment horizontal="right"/>
    </xf>
    <xf numFmtId="2" fontId="20" fillId="7" borderId="1" xfId="0" applyNumberFormat="1" applyFont="1" applyFill="1" applyBorder="1"/>
    <xf numFmtId="165" fontId="20" fillId="7" borderId="29" xfId="0" applyNumberFormat="1" applyFont="1" applyFill="1" applyBorder="1"/>
    <xf numFmtId="3" fontId="20" fillId="7" borderId="1" xfId="0" applyNumberFormat="1" applyFont="1" applyFill="1" applyBorder="1" applyAlignment="1">
      <alignment horizontal="right"/>
    </xf>
    <xf numFmtId="2" fontId="20" fillId="7" borderId="29" xfId="0" applyNumberFormat="1" applyFont="1" applyFill="1" applyBorder="1"/>
    <xf numFmtId="2" fontId="20" fillId="7" borderId="31" xfId="0" applyNumberFormat="1" applyFont="1" applyFill="1" applyBorder="1" applyAlignment="1">
      <alignment horizontal="right"/>
    </xf>
    <xf numFmtId="0" fontId="6" fillId="9" borderId="7" xfId="0" applyFont="1" applyFill="1" applyBorder="1" applyAlignment="1">
      <alignment horizontal="left" vertical="center"/>
    </xf>
    <xf numFmtId="0" fontId="6" fillId="9" borderId="0" xfId="0" applyFont="1" applyFill="1" applyBorder="1" applyAlignment="1">
      <alignment horizontal="left" vertical="center"/>
    </xf>
    <xf numFmtId="165" fontId="5" fillId="9" borderId="0" xfId="0" applyNumberFormat="1" applyFont="1" applyFill="1" applyBorder="1"/>
    <xf numFmtId="165" fontId="7" fillId="9" borderId="0" xfId="0" applyNumberFormat="1" applyFont="1" applyFill="1" applyBorder="1" applyAlignment="1">
      <alignment wrapText="1"/>
    </xf>
    <xf numFmtId="165" fontId="5" fillId="9" borderId="8" xfId="0" applyNumberFormat="1" applyFont="1" applyFill="1" applyBorder="1"/>
    <xf numFmtId="165" fontId="8" fillId="9" borderId="7" xfId="0" applyNumberFormat="1" applyFont="1" applyFill="1" applyBorder="1"/>
    <xf numFmtId="0" fontId="0" fillId="9" borderId="0" xfId="0" applyFont="1" applyFill="1" applyBorder="1"/>
    <xf numFmtId="165" fontId="7" fillId="9" borderId="11" xfId="0" applyNumberFormat="1" applyFont="1" applyFill="1" applyBorder="1" applyAlignment="1">
      <alignment horizontal="center" wrapText="1"/>
    </xf>
    <xf numFmtId="165" fontId="5" fillId="9" borderId="11" xfId="0" applyNumberFormat="1" applyFont="1" applyFill="1" applyBorder="1"/>
    <xf numFmtId="165" fontId="8" fillId="9" borderId="8" xfId="0" applyNumberFormat="1" applyFont="1" applyFill="1" applyBorder="1"/>
    <xf numFmtId="0" fontId="0" fillId="9" borderId="0" xfId="0" applyFill="1" applyBorder="1"/>
    <xf numFmtId="43" fontId="5" fillId="9" borderId="5" xfId="0" applyNumberFormat="1" applyFont="1" applyFill="1" applyBorder="1"/>
    <xf numFmtId="43" fontId="5" fillId="9" borderId="0" xfId="0" applyNumberFormat="1" applyFont="1" applyFill="1" applyBorder="1"/>
    <xf numFmtId="165" fontId="5" fillId="9" borderId="2" xfId="0" applyNumberFormat="1" applyFont="1" applyFill="1" applyBorder="1"/>
    <xf numFmtId="43" fontId="5" fillId="9" borderId="2" xfId="0" applyNumberFormat="1" applyFont="1" applyFill="1" applyBorder="1"/>
    <xf numFmtId="0" fontId="0" fillId="9" borderId="7" xfId="0" applyFill="1" applyBorder="1"/>
    <xf numFmtId="165" fontId="7" fillId="9" borderId="0" xfId="0" applyNumberFormat="1" applyFont="1" applyFill="1" applyBorder="1" applyAlignment="1">
      <alignment horizontal="right"/>
    </xf>
    <xf numFmtId="165" fontId="8" fillId="9" borderId="0" xfId="0" applyNumberFormat="1" applyFont="1" applyFill="1" applyBorder="1"/>
    <xf numFmtId="165" fontId="8" fillId="9" borderId="10" xfId="0" applyNumberFormat="1" applyFont="1" applyFill="1" applyBorder="1"/>
    <xf numFmtId="165" fontId="8" fillId="9" borderId="11" xfId="0" applyNumberFormat="1" applyFont="1" applyFill="1" applyBorder="1"/>
    <xf numFmtId="165" fontId="8" fillId="9" borderId="12" xfId="0" applyNumberFormat="1" applyFont="1" applyFill="1" applyBorder="1"/>
    <xf numFmtId="0" fontId="4" fillId="9" borderId="11" xfId="0" applyFont="1" applyFill="1" applyBorder="1" applyAlignment="1">
      <alignment horizontal="center"/>
    </xf>
    <xf numFmtId="165" fontId="5" fillId="9" borderId="0" xfId="1" applyNumberFormat="1" applyFont="1" applyFill="1" applyBorder="1" applyAlignment="1">
      <alignment horizontal="center"/>
    </xf>
    <xf numFmtId="2" fontId="5" fillId="9" borderId="0" xfId="0" applyNumberFormat="1" applyFont="1" applyFill="1" applyBorder="1" applyAlignment="1">
      <alignment horizontal="right"/>
    </xf>
    <xf numFmtId="43" fontId="5" fillId="9" borderId="8" xfId="0" applyNumberFormat="1" applyFont="1" applyFill="1" applyBorder="1"/>
    <xf numFmtId="165" fontId="5" fillId="9" borderId="2" xfId="1" applyNumberFormat="1" applyFont="1" applyFill="1" applyBorder="1" applyAlignment="1">
      <alignment horizontal="center"/>
    </xf>
    <xf numFmtId="2" fontId="5" fillId="9" borderId="2" xfId="0" applyNumberFormat="1" applyFont="1" applyFill="1" applyBorder="1" applyAlignment="1">
      <alignment horizontal="right"/>
    </xf>
    <xf numFmtId="0" fontId="4" fillId="9" borderId="7" xfId="0" applyFont="1" applyFill="1" applyBorder="1" applyAlignment="1">
      <alignment horizontal="right"/>
    </xf>
    <xf numFmtId="43" fontId="5" fillId="9" borderId="0" xfId="1" applyNumberFormat="1" applyFont="1" applyFill="1" applyBorder="1" applyAlignment="1">
      <alignment horizontal="right"/>
    </xf>
    <xf numFmtId="165" fontId="5" fillId="9" borderId="0" xfId="0" applyNumberFormat="1" applyFont="1" applyFill="1" applyBorder="1" applyAlignment="1">
      <alignment horizontal="center"/>
    </xf>
    <xf numFmtId="0" fontId="0" fillId="9" borderId="26" xfId="0" applyFill="1" applyBorder="1"/>
    <xf numFmtId="0" fontId="0" fillId="9" borderId="16" xfId="0" applyFill="1" applyBorder="1"/>
    <xf numFmtId="165" fontId="5" fillId="9" borderId="16" xfId="1" applyNumberFormat="1" applyFont="1" applyFill="1" applyBorder="1" applyAlignment="1">
      <alignment horizontal="center"/>
    </xf>
    <xf numFmtId="2" fontId="5" fillId="9" borderId="16" xfId="0" applyNumberFormat="1" applyFont="1" applyFill="1" applyBorder="1" applyAlignment="1">
      <alignment horizontal="right"/>
    </xf>
    <xf numFmtId="43" fontId="5" fillId="9" borderId="27" xfId="0" applyNumberFormat="1" applyFont="1" applyFill="1" applyBorder="1"/>
    <xf numFmtId="43" fontId="5" fillId="9" borderId="0" xfId="1" applyNumberFormat="1" applyFont="1" applyFill="1" applyBorder="1" applyAlignment="1">
      <alignment horizontal="center"/>
    </xf>
    <xf numFmtId="43" fontId="5" fillId="9" borderId="2" xfId="1" applyNumberFormat="1" applyFont="1" applyFill="1" applyBorder="1" applyAlignment="1">
      <alignment horizontal="center"/>
    </xf>
    <xf numFmtId="0" fontId="6" fillId="9" borderId="16" xfId="0" applyFont="1" applyFill="1" applyBorder="1" applyAlignment="1">
      <alignment horizontal="left" vertical="center"/>
    </xf>
    <xf numFmtId="165" fontId="5" fillId="9" borderId="0" xfId="1" applyNumberFormat="1" applyFont="1" applyFill="1" applyBorder="1" applyAlignment="1">
      <alignment horizontal="right"/>
    </xf>
    <xf numFmtId="43" fontId="5" fillId="9" borderId="8" xfId="1" applyNumberFormat="1" applyFont="1" applyFill="1" applyBorder="1" applyAlignment="1">
      <alignment horizontal="center"/>
    </xf>
    <xf numFmtId="165" fontId="5" fillId="9" borderId="2" xfId="1" applyNumberFormat="1" applyFont="1" applyFill="1" applyBorder="1" applyAlignment="1">
      <alignment horizontal="right"/>
    </xf>
    <xf numFmtId="43" fontId="5" fillId="9" borderId="9" xfId="1" applyNumberFormat="1" applyFont="1" applyFill="1" applyBorder="1" applyAlignment="1">
      <alignment horizontal="center"/>
    </xf>
    <xf numFmtId="0" fontId="0" fillId="9" borderId="10" xfId="0" applyFill="1" applyBorder="1"/>
    <xf numFmtId="0" fontId="0" fillId="9" borderId="11" xfId="0" applyFill="1" applyBorder="1"/>
    <xf numFmtId="0" fontId="0" fillId="9" borderId="11" xfId="0" applyFill="1" applyBorder="1" applyAlignment="1">
      <alignment horizontal="center"/>
    </xf>
    <xf numFmtId="0" fontId="0" fillId="9" borderId="12" xfId="0" applyFill="1" applyBorder="1"/>
    <xf numFmtId="0" fontId="3" fillId="9" borderId="32" xfId="0" applyFont="1" applyFill="1" applyBorder="1"/>
    <xf numFmtId="0" fontId="3" fillId="9" borderId="33" xfId="0" applyFont="1" applyFill="1" applyBorder="1"/>
    <xf numFmtId="2" fontId="3" fillId="9" borderId="33" xfId="0" applyNumberFormat="1" applyFont="1" applyFill="1" applyBorder="1" applyAlignment="1">
      <alignment horizontal="right"/>
    </xf>
    <xf numFmtId="2" fontId="19" fillId="9" borderId="33" xfId="0" applyNumberFormat="1" applyFont="1" applyFill="1" applyBorder="1"/>
    <xf numFmtId="0" fontId="3" fillId="9" borderId="34" xfId="0" applyFont="1" applyFill="1" applyBorder="1"/>
    <xf numFmtId="0" fontId="2" fillId="10" borderId="0" xfId="0" applyFont="1" applyFill="1" applyAlignment="1"/>
    <xf numFmtId="0" fontId="0" fillId="10" borderId="0" xfId="0" applyFill="1" applyAlignment="1">
      <alignment vertical="center"/>
    </xf>
    <xf numFmtId="0" fontId="0" fillId="10" borderId="0" xfId="0" applyFill="1"/>
    <xf numFmtId="0" fontId="0" fillId="10" borderId="0" xfId="0" applyFont="1" applyFill="1"/>
    <xf numFmtId="0" fontId="2" fillId="10" borderId="0" xfId="0" applyFont="1" applyFill="1" applyBorder="1" applyAlignment="1"/>
    <xf numFmtId="0" fontId="2" fillId="10" borderId="0" xfId="0" applyFont="1" applyFill="1" applyBorder="1" applyAlignment="1">
      <alignment vertical="center"/>
    </xf>
    <xf numFmtId="0" fontId="16" fillId="10" borderId="0" xfId="0" applyFont="1" applyFill="1" applyBorder="1" applyAlignment="1">
      <alignment horizontal="center" vertical="center" wrapText="1"/>
    </xf>
    <xf numFmtId="0" fontId="16" fillId="10" borderId="0" xfId="0" applyFont="1" applyFill="1" applyBorder="1" applyAlignment="1">
      <alignment horizontal="center" wrapText="1"/>
    </xf>
    <xf numFmtId="0" fontId="0" fillId="10" borderId="0" xfId="0" applyFill="1" applyAlignment="1">
      <alignment horizontal="center"/>
    </xf>
    <xf numFmtId="0" fontId="15" fillId="8" borderId="7" xfId="0" applyFont="1" applyFill="1" applyBorder="1" applyAlignment="1">
      <alignment horizontal="center"/>
    </xf>
    <xf numFmtId="0" fontId="15" fillId="8" borderId="0" xfId="0" applyFont="1" applyFill="1" applyBorder="1" applyAlignment="1">
      <alignment horizontal="center"/>
    </xf>
    <xf numFmtId="0" fontId="15" fillId="8" borderId="8" xfId="0" applyFont="1" applyFill="1" applyBorder="1" applyAlignment="1">
      <alignment horizontal="center"/>
    </xf>
    <xf numFmtId="0" fontId="14" fillId="8" borderId="7" xfId="0" applyFont="1" applyFill="1" applyBorder="1" applyAlignment="1">
      <alignment horizontal="center"/>
    </xf>
    <xf numFmtId="0" fontId="14" fillId="8" borderId="0" xfId="0" applyFont="1" applyFill="1" applyBorder="1" applyAlignment="1">
      <alignment horizontal="center"/>
    </xf>
    <xf numFmtId="0" fontId="14" fillId="8" borderId="8" xfId="0" applyFont="1" applyFill="1" applyBorder="1" applyAlignment="1">
      <alignment horizontal="center"/>
    </xf>
    <xf numFmtId="0" fontId="18" fillId="8" borderId="7" xfId="0" applyFont="1" applyFill="1" applyBorder="1" applyAlignment="1">
      <alignment horizontal="center" wrapText="1"/>
    </xf>
    <xf numFmtId="0" fontId="18" fillId="8" borderId="0" xfId="0" applyFont="1" applyFill="1" applyBorder="1" applyAlignment="1">
      <alignment horizontal="center" wrapText="1"/>
    </xf>
    <xf numFmtId="0" fontId="18" fillId="8" borderId="8" xfId="0" applyFont="1" applyFill="1" applyBorder="1" applyAlignment="1">
      <alignment horizontal="center" wrapText="1"/>
    </xf>
    <xf numFmtId="0" fontId="13" fillId="8" borderId="7" xfId="0" applyFont="1" applyFill="1" applyBorder="1" applyAlignment="1">
      <alignment horizontal="center"/>
    </xf>
    <xf numFmtId="0" fontId="13" fillId="8" borderId="0" xfId="0" applyFont="1" applyFill="1" applyBorder="1" applyAlignment="1">
      <alignment horizontal="center"/>
    </xf>
    <xf numFmtId="0" fontId="13" fillId="8" borderId="8" xfId="0" applyFont="1" applyFill="1" applyBorder="1" applyAlignment="1">
      <alignment horizontal="center"/>
    </xf>
    <xf numFmtId="0" fontId="17" fillId="8" borderId="7" xfId="0" applyFont="1" applyFill="1" applyBorder="1" applyAlignment="1">
      <alignment horizontal="center"/>
    </xf>
    <xf numFmtId="0" fontId="17" fillId="8" borderId="0" xfId="0" applyFont="1" applyFill="1" applyBorder="1" applyAlignment="1">
      <alignment horizontal="center"/>
    </xf>
    <xf numFmtId="0" fontId="17" fillId="8" borderId="8" xfId="0" applyFont="1" applyFill="1" applyBorder="1" applyAlignment="1">
      <alignment horizontal="center"/>
    </xf>
    <xf numFmtId="0" fontId="6" fillId="8" borderId="24" xfId="0" applyFont="1" applyFill="1" applyBorder="1" applyAlignment="1">
      <alignment horizontal="left" vertical="center"/>
    </xf>
    <xf numFmtId="0" fontId="6" fillId="8" borderId="3" xfId="0" applyFont="1" applyFill="1" applyBorder="1" applyAlignment="1">
      <alignment horizontal="left" vertical="center"/>
    </xf>
    <xf numFmtId="0" fontId="6" fillId="8" borderId="7" xfId="0" applyFont="1" applyFill="1" applyBorder="1" applyAlignment="1">
      <alignment horizontal="left" vertical="center"/>
    </xf>
    <xf numFmtId="0" fontId="6" fillId="8" borderId="0" xfId="0" applyFont="1" applyFill="1" applyBorder="1" applyAlignment="1">
      <alignment horizontal="left" vertical="center"/>
    </xf>
    <xf numFmtId="0" fontId="4" fillId="8" borderId="0" xfId="0" applyFont="1" applyFill="1" applyBorder="1" applyAlignment="1">
      <alignment horizontal="center" wrapText="1"/>
    </xf>
    <xf numFmtId="0" fontId="4" fillId="8" borderId="16" xfId="0" applyFont="1" applyFill="1" applyBorder="1" applyAlignment="1">
      <alignment horizontal="center" wrapText="1"/>
    </xf>
    <xf numFmtId="0" fontId="4" fillId="8" borderId="8" xfId="0" applyFont="1" applyFill="1" applyBorder="1" applyAlignment="1">
      <alignment horizontal="center" wrapText="1"/>
    </xf>
    <xf numFmtId="0" fontId="4" fillId="8" borderId="27" xfId="0" applyFont="1" applyFill="1" applyBorder="1" applyAlignment="1">
      <alignment horizontal="center" wrapText="1"/>
    </xf>
    <xf numFmtId="165" fontId="7" fillId="9" borderId="8" xfId="0" applyNumberFormat="1" applyFont="1" applyFill="1" applyBorder="1" applyAlignment="1">
      <alignment horizontal="center" wrapText="1"/>
    </xf>
    <xf numFmtId="165" fontId="7" fillId="9" borderId="12" xfId="0" applyNumberFormat="1" applyFont="1" applyFill="1" applyBorder="1" applyAlignment="1">
      <alignment horizontal="center" wrapText="1"/>
    </xf>
    <xf numFmtId="0" fontId="6" fillId="9" borderId="7" xfId="0" applyFont="1" applyFill="1" applyBorder="1" applyAlignment="1">
      <alignment horizontal="left" vertical="center"/>
    </xf>
    <xf numFmtId="0" fontId="6" fillId="9" borderId="0" xfId="0" applyFont="1" applyFill="1" applyBorder="1" applyAlignment="1">
      <alignment horizontal="left" vertical="center"/>
    </xf>
    <xf numFmtId="0" fontId="4" fillId="9" borderId="0" xfId="0" applyFont="1" applyFill="1" applyBorder="1" applyAlignment="1">
      <alignment horizontal="center" wrapText="1"/>
    </xf>
    <xf numFmtId="0" fontId="4" fillId="9" borderId="11" xfId="0" applyFont="1" applyFill="1" applyBorder="1" applyAlignment="1">
      <alignment horizontal="center" wrapText="1"/>
    </xf>
    <xf numFmtId="165" fontId="7" fillId="9" borderId="0" xfId="0" applyNumberFormat="1" applyFont="1" applyFill="1" applyBorder="1" applyAlignment="1">
      <alignment horizontal="center" wrapText="1"/>
    </xf>
    <xf numFmtId="165" fontId="7" fillId="9" borderId="11" xfId="0" applyNumberFormat="1" applyFont="1" applyFill="1" applyBorder="1" applyAlignment="1">
      <alignment horizontal="center" wrapText="1"/>
    </xf>
    <xf numFmtId="0" fontId="4" fillId="9" borderId="8" xfId="0" applyFont="1" applyFill="1" applyBorder="1" applyAlignment="1">
      <alignment horizontal="center" wrapText="1"/>
    </xf>
    <xf numFmtId="0" fontId="22" fillId="11" borderId="21" xfId="0" applyFont="1" applyFill="1" applyBorder="1" applyAlignment="1">
      <alignment horizontal="center"/>
    </xf>
    <xf numFmtId="0" fontId="22" fillId="11" borderId="22" xfId="0" applyFont="1" applyFill="1" applyBorder="1" applyAlignment="1">
      <alignment horizontal="center"/>
    </xf>
    <xf numFmtId="0" fontId="22" fillId="11" borderId="23" xfId="0" applyFont="1" applyFill="1" applyBorder="1" applyAlignment="1">
      <alignment horizontal="center"/>
    </xf>
    <xf numFmtId="0" fontId="22" fillId="11" borderId="4" xfId="0" applyFont="1" applyFill="1" applyBorder="1" applyAlignment="1">
      <alignment horizontal="center"/>
    </xf>
    <xf numFmtId="0" fontId="22" fillId="11" borderId="5" xfId="0" applyFont="1" applyFill="1" applyBorder="1" applyAlignment="1">
      <alignment horizontal="center"/>
    </xf>
    <xf numFmtId="0" fontId="22" fillId="11" borderId="6" xfId="0" applyFont="1" applyFill="1" applyBorder="1" applyAlignment="1">
      <alignment horizontal="center"/>
    </xf>
    <xf numFmtId="0" fontId="6" fillId="8" borderId="26" xfId="0" applyFont="1" applyFill="1" applyBorder="1" applyAlignment="1">
      <alignment horizontal="left" vertical="center"/>
    </xf>
    <xf numFmtId="0" fontId="6" fillId="8" borderId="16" xfId="0" applyFont="1" applyFill="1" applyBorder="1" applyAlignment="1">
      <alignment horizontal="left" vertical="center"/>
    </xf>
    <xf numFmtId="0" fontId="16" fillId="8" borderId="0" xfId="0" applyFont="1" applyFill="1" applyBorder="1" applyAlignment="1">
      <alignment horizontal="center" vertical="center" wrapText="1"/>
    </xf>
    <xf numFmtId="0" fontId="4" fillId="8" borderId="3" xfId="0" applyFont="1" applyFill="1" applyBorder="1" applyAlignment="1">
      <alignment horizontal="center" wrapText="1"/>
    </xf>
    <xf numFmtId="0" fontId="0" fillId="3" borderId="0" xfId="0" applyFill="1" applyAlignment="1">
      <alignment horizontal="center" wrapText="1"/>
    </xf>
    <xf numFmtId="0" fontId="4" fillId="8" borderId="3" xfId="0" applyFont="1" applyFill="1" applyBorder="1" applyAlignment="1">
      <alignment horizontal="right" wrapText="1"/>
    </xf>
    <xf numFmtId="0" fontId="4" fillId="8" borderId="0" xfId="0" applyFont="1" applyFill="1" applyBorder="1" applyAlignment="1">
      <alignment horizontal="right" wrapText="1"/>
    </xf>
    <xf numFmtId="0" fontId="4" fillId="8" borderId="16" xfId="0" applyFont="1" applyFill="1" applyBorder="1" applyAlignment="1">
      <alignment horizontal="right" wrapText="1"/>
    </xf>
    <xf numFmtId="0" fontId="4" fillId="8" borderId="3" xfId="0" applyFont="1" applyFill="1" applyBorder="1" applyAlignment="1">
      <alignment horizontal="left" wrapText="1"/>
    </xf>
    <xf numFmtId="0" fontId="4" fillId="8" borderId="0" xfId="0" applyFont="1" applyFill="1" applyBorder="1" applyAlignment="1">
      <alignment horizontal="left" wrapText="1"/>
    </xf>
    <xf numFmtId="0" fontId="4" fillId="8" borderId="16" xfId="0" applyFont="1" applyFill="1" applyBorder="1" applyAlignment="1">
      <alignment horizontal="left" wrapText="1"/>
    </xf>
    <xf numFmtId="0" fontId="4" fillId="8" borderId="25" xfId="0" applyFont="1" applyFill="1" applyBorder="1" applyAlignment="1">
      <alignment horizont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26" xfId="0" applyFont="1" applyFill="1" applyBorder="1" applyAlignment="1">
      <alignment horizontal="center" vertical="center"/>
    </xf>
    <xf numFmtId="0" fontId="6" fillId="9" borderId="16" xfId="0" applyFont="1" applyFill="1" applyBorder="1" applyAlignment="1">
      <alignment horizontal="center" vertical="center"/>
    </xf>
    <xf numFmtId="0" fontId="6" fillId="9" borderId="27" xfId="0" applyFont="1" applyFill="1" applyBorder="1" applyAlignment="1">
      <alignment horizontal="center" vertical="center"/>
    </xf>
    <xf numFmtId="0" fontId="4" fillId="6" borderId="3" xfId="0" applyFont="1" applyFill="1" applyBorder="1" applyAlignment="1">
      <alignment horizontal="center" wrapText="1"/>
    </xf>
    <xf numFmtId="0" fontId="4" fillId="6" borderId="11" xfId="0" applyFont="1" applyFill="1" applyBorder="1" applyAlignment="1">
      <alignment horizontal="center" wrapText="1"/>
    </xf>
    <xf numFmtId="0" fontId="4" fillId="6" borderId="0" xfId="0" applyFont="1" applyFill="1" applyBorder="1" applyAlignment="1">
      <alignment horizontal="center" wrapText="1"/>
    </xf>
    <xf numFmtId="0" fontId="6" fillId="9" borderId="24" xfId="0" applyFont="1" applyFill="1" applyBorder="1" applyAlignment="1">
      <alignment horizontal="left" vertical="center"/>
    </xf>
    <xf numFmtId="37" fontId="20" fillId="7" borderId="3" xfId="1" applyNumberFormat="1" applyFont="1" applyFill="1" applyBorder="1" applyAlignment="1">
      <alignment horizontal="center"/>
    </xf>
    <xf numFmtId="37" fontId="20" fillId="7" borderId="14" xfId="1" applyNumberFormat="1" applyFont="1" applyFill="1" applyBorder="1" applyAlignment="1">
      <alignment horizontal="center"/>
    </xf>
    <xf numFmtId="37" fontId="20" fillId="7" borderId="16" xfId="1" applyNumberFormat="1" applyFont="1" applyFill="1" applyBorder="1" applyAlignment="1">
      <alignment horizontal="center"/>
    </xf>
    <xf numFmtId="37" fontId="20" fillId="7" borderId="17" xfId="1" applyNumberFormat="1" applyFont="1" applyFill="1" applyBorder="1" applyAlignment="1">
      <alignment horizontal="center"/>
    </xf>
    <xf numFmtId="0" fontId="6" fillId="8" borderId="24"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6"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0000"/>
      <color rgb="FFFFEDB3"/>
      <color rgb="FFFFCC99"/>
      <color rgb="FFFFFF99"/>
      <color rgb="FFFAFA00"/>
      <color rgb="FFF5F7AB"/>
      <color rgb="FFC8C800"/>
      <color rgb="FFEBEB99"/>
      <color rgb="FFE1E1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323850</xdr:colOff>
      <xdr:row>2</xdr:row>
      <xdr:rowOff>200024</xdr:rowOff>
    </xdr:from>
    <xdr:to>
      <xdr:col>14</xdr:col>
      <xdr:colOff>122932</xdr:colOff>
      <xdr:row>13</xdr:row>
      <xdr:rowOff>77496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0" y="600074"/>
          <a:ext cx="2542282" cy="20777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539945</xdr:colOff>
      <xdr:row>2</xdr:row>
      <xdr:rowOff>171451</xdr:rowOff>
    </xdr:from>
    <xdr:to>
      <xdr:col>9</xdr:col>
      <xdr:colOff>447675</xdr:colOff>
      <xdr:row>9</xdr:row>
      <xdr:rowOff>190500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9620" y="800101"/>
          <a:ext cx="1736530" cy="14192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abSelected="1" workbookViewId="0">
      <selection activeCell="B2" sqref="B2"/>
    </sheetView>
  </sheetViews>
  <sheetFormatPr defaultColWidth="9" defaultRowHeight="15.6" x14ac:dyDescent="0.3"/>
  <cols>
    <col min="1" max="16384" width="9" style="40"/>
  </cols>
  <sheetData>
    <row r="1" spans="2:15" ht="16.2" thickBot="1" x14ac:dyDescent="0.35"/>
    <row r="2" spans="2:15" x14ac:dyDescent="0.3">
      <c r="B2" s="101" t="s">
        <v>155</v>
      </c>
      <c r="C2" s="102"/>
      <c r="D2" s="102"/>
      <c r="E2" s="102"/>
      <c r="F2" s="102"/>
      <c r="G2" s="102"/>
      <c r="H2" s="102"/>
      <c r="I2" s="102"/>
      <c r="J2" s="102"/>
      <c r="K2" s="102"/>
      <c r="L2" s="102"/>
      <c r="M2" s="102"/>
      <c r="N2" s="102"/>
      <c r="O2" s="103"/>
    </row>
    <row r="3" spans="2:15" x14ac:dyDescent="0.3">
      <c r="B3" s="71"/>
      <c r="C3" s="51"/>
      <c r="D3" s="51"/>
      <c r="E3" s="51"/>
      <c r="F3" s="51"/>
      <c r="G3" s="51"/>
      <c r="H3" s="51"/>
      <c r="I3" s="51"/>
      <c r="J3" s="51"/>
      <c r="K3" s="51"/>
      <c r="L3" s="51"/>
      <c r="M3" s="51"/>
      <c r="N3" s="51"/>
      <c r="O3" s="75"/>
    </row>
    <row r="4" spans="2:15" x14ac:dyDescent="0.3">
      <c r="B4" s="71"/>
      <c r="C4" s="51"/>
      <c r="D4" s="51"/>
      <c r="E4" s="51"/>
      <c r="F4" s="51"/>
      <c r="G4" s="51"/>
      <c r="H4" s="51"/>
      <c r="I4" s="51"/>
      <c r="J4" s="51"/>
      <c r="K4" s="51"/>
      <c r="L4" s="51"/>
      <c r="M4" s="51"/>
      <c r="N4" s="51"/>
      <c r="O4" s="75"/>
    </row>
    <row r="5" spans="2:15" x14ac:dyDescent="0.3">
      <c r="B5" s="71"/>
      <c r="C5" s="51"/>
      <c r="D5" s="51"/>
      <c r="E5" s="51"/>
      <c r="F5" s="51"/>
      <c r="G5" s="51"/>
      <c r="H5" s="51"/>
      <c r="I5" s="51"/>
      <c r="J5" s="51"/>
      <c r="K5" s="51"/>
      <c r="L5" s="51"/>
      <c r="M5" s="51"/>
      <c r="N5" s="51"/>
      <c r="O5" s="75"/>
    </row>
    <row r="6" spans="2:15" x14ac:dyDescent="0.3">
      <c r="B6" s="71"/>
      <c r="C6" s="51"/>
      <c r="D6" s="51"/>
      <c r="E6" s="51"/>
      <c r="F6" s="51"/>
      <c r="G6" s="51"/>
      <c r="H6" s="51"/>
      <c r="I6" s="51"/>
      <c r="J6" s="51"/>
      <c r="K6" s="51"/>
      <c r="L6" s="51"/>
      <c r="M6" s="51"/>
      <c r="N6" s="51"/>
      <c r="O6" s="75"/>
    </row>
    <row r="7" spans="2:15" x14ac:dyDescent="0.3">
      <c r="B7" s="71"/>
      <c r="C7" s="51"/>
      <c r="D7" s="51"/>
      <c r="E7" s="51"/>
      <c r="F7" s="51"/>
      <c r="G7" s="51"/>
      <c r="H7" s="51"/>
      <c r="I7" s="51"/>
      <c r="J7" s="51"/>
      <c r="K7" s="51"/>
      <c r="L7" s="51"/>
      <c r="M7" s="51"/>
      <c r="N7" s="51"/>
      <c r="O7" s="75"/>
    </row>
    <row r="8" spans="2:15" x14ac:dyDescent="0.3">
      <c r="B8" s="71"/>
      <c r="C8" s="51"/>
      <c r="D8" s="51"/>
      <c r="E8" s="51"/>
      <c r="F8" s="51"/>
      <c r="G8" s="51"/>
      <c r="H8" s="51"/>
      <c r="I8" s="51"/>
      <c r="J8" s="51"/>
      <c r="K8" s="51"/>
      <c r="L8" s="51"/>
      <c r="M8" s="51"/>
      <c r="N8" s="51"/>
      <c r="O8" s="75"/>
    </row>
    <row r="9" spans="2:15" x14ac:dyDescent="0.3">
      <c r="B9" s="71"/>
      <c r="C9" s="51"/>
      <c r="D9" s="51"/>
      <c r="E9" s="51"/>
      <c r="F9" s="51"/>
      <c r="G9" s="51"/>
      <c r="H9" s="51"/>
      <c r="I9" s="51"/>
      <c r="J9" s="51"/>
      <c r="K9" s="51"/>
      <c r="L9" s="51"/>
      <c r="M9" s="51"/>
      <c r="N9" s="51"/>
      <c r="O9" s="75"/>
    </row>
    <row r="10" spans="2:15" x14ac:dyDescent="0.3">
      <c r="B10" s="71"/>
      <c r="C10" s="51"/>
      <c r="D10" s="51"/>
      <c r="E10" s="51"/>
      <c r="F10" s="51"/>
      <c r="G10" s="51"/>
      <c r="H10" s="51"/>
      <c r="I10" s="51"/>
      <c r="J10" s="51"/>
      <c r="K10" s="51"/>
      <c r="L10" s="51"/>
      <c r="M10" s="51"/>
      <c r="N10" s="51"/>
      <c r="O10" s="75"/>
    </row>
    <row r="11" spans="2:15" x14ac:dyDescent="0.3">
      <c r="B11" s="71"/>
      <c r="C11" s="51"/>
      <c r="D11" s="51"/>
      <c r="E11" s="51"/>
      <c r="F11" s="51"/>
      <c r="G11" s="51"/>
      <c r="H11" s="51"/>
      <c r="I11" s="51"/>
      <c r="J11" s="51"/>
      <c r="K11" s="51"/>
      <c r="L11" s="51"/>
      <c r="M11" s="51"/>
      <c r="N11" s="51"/>
      <c r="O11" s="75"/>
    </row>
    <row r="12" spans="2:15" x14ac:dyDescent="0.3">
      <c r="B12" s="71"/>
      <c r="C12" s="51"/>
      <c r="D12" s="51"/>
      <c r="E12" s="51"/>
      <c r="F12" s="51"/>
      <c r="G12" s="51"/>
      <c r="H12" s="51"/>
      <c r="I12" s="51"/>
      <c r="J12" s="51"/>
      <c r="K12" s="51"/>
      <c r="L12" s="51"/>
      <c r="M12" s="51"/>
      <c r="N12" s="51"/>
      <c r="O12" s="75"/>
    </row>
    <row r="13" spans="2:15" x14ac:dyDescent="0.3">
      <c r="B13" s="71"/>
      <c r="C13" s="51"/>
      <c r="D13" s="51"/>
      <c r="E13" s="51"/>
      <c r="F13" s="51"/>
      <c r="G13" s="51"/>
      <c r="H13" s="51"/>
      <c r="I13" s="51"/>
      <c r="J13" s="51"/>
      <c r="K13" s="51"/>
      <c r="L13" s="51"/>
      <c r="M13" s="51"/>
      <c r="N13" s="51"/>
      <c r="O13" s="75"/>
    </row>
    <row r="14" spans="2:15" x14ac:dyDescent="0.3">
      <c r="B14" s="71"/>
      <c r="C14" s="51"/>
      <c r="D14" s="51"/>
      <c r="E14" s="51"/>
      <c r="F14" s="51"/>
      <c r="G14" s="51"/>
      <c r="H14" s="51"/>
      <c r="I14" s="51"/>
      <c r="J14" s="51"/>
      <c r="K14" s="51"/>
      <c r="L14" s="51"/>
      <c r="M14" s="51"/>
      <c r="N14" s="51"/>
      <c r="O14" s="75"/>
    </row>
    <row r="15" spans="2:15" x14ac:dyDescent="0.3">
      <c r="B15" s="71"/>
      <c r="C15" s="51"/>
      <c r="D15" s="51"/>
      <c r="E15" s="51"/>
      <c r="F15" s="51"/>
      <c r="G15" s="51"/>
      <c r="H15" s="51"/>
      <c r="I15" s="51"/>
      <c r="J15" s="51"/>
      <c r="K15" s="51"/>
      <c r="L15" s="51"/>
      <c r="M15" s="51"/>
      <c r="N15" s="51"/>
      <c r="O15" s="75"/>
    </row>
    <row r="16" spans="2:15" ht="59.25" customHeight="1" x14ac:dyDescent="1.4">
      <c r="B16" s="181" t="s">
        <v>129</v>
      </c>
      <c r="C16" s="182"/>
      <c r="D16" s="182"/>
      <c r="E16" s="182"/>
      <c r="F16" s="182"/>
      <c r="G16" s="182"/>
      <c r="H16" s="182"/>
      <c r="I16" s="182"/>
      <c r="J16" s="182"/>
      <c r="K16" s="182"/>
      <c r="L16" s="182"/>
      <c r="M16" s="182"/>
      <c r="N16" s="182"/>
      <c r="O16" s="183"/>
    </row>
    <row r="17" spans="2:15" ht="64.5" customHeight="1" x14ac:dyDescent="1.4">
      <c r="B17" s="181" t="s">
        <v>130</v>
      </c>
      <c r="C17" s="182"/>
      <c r="D17" s="182"/>
      <c r="E17" s="182"/>
      <c r="F17" s="182"/>
      <c r="G17" s="182"/>
      <c r="H17" s="182"/>
      <c r="I17" s="182"/>
      <c r="J17" s="182"/>
      <c r="K17" s="182"/>
      <c r="L17" s="182"/>
      <c r="M17" s="182"/>
      <c r="N17" s="182"/>
      <c r="O17" s="183"/>
    </row>
    <row r="18" spans="2:15" x14ac:dyDescent="0.3">
      <c r="B18" s="71"/>
      <c r="C18" s="51"/>
      <c r="D18" s="51"/>
      <c r="E18" s="51"/>
      <c r="F18" s="51"/>
      <c r="G18" s="51"/>
      <c r="H18" s="51"/>
      <c r="I18" s="51"/>
      <c r="J18" s="51"/>
      <c r="K18" s="51"/>
      <c r="L18" s="51"/>
      <c r="M18" s="51"/>
      <c r="N18" s="51"/>
      <c r="O18" s="75"/>
    </row>
    <row r="19" spans="2:15" ht="24.6" x14ac:dyDescent="0.4">
      <c r="B19" s="184" t="s">
        <v>109</v>
      </c>
      <c r="C19" s="185"/>
      <c r="D19" s="185"/>
      <c r="E19" s="185"/>
      <c r="F19" s="185"/>
      <c r="G19" s="185"/>
      <c r="H19" s="185"/>
      <c r="I19" s="185"/>
      <c r="J19" s="185"/>
      <c r="K19" s="185"/>
      <c r="L19" s="185"/>
      <c r="M19" s="185"/>
      <c r="N19" s="185"/>
      <c r="O19" s="186"/>
    </row>
    <row r="20" spans="2:15" x14ac:dyDescent="0.3">
      <c r="B20" s="71"/>
      <c r="C20" s="51"/>
      <c r="D20" s="51"/>
      <c r="E20" s="51"/>
      <c r="F20" s="51"/>
      <c r="G20" s="51"/>
      <c r="H20" s="51"/>
      <c r="I20" s="51"/>
      <c r="J20" s="51"/>
      <c r="K20" s="51"/>
      <c r="L20" s="51"/>
      <c r="M20" s="51"/>
      <c r="N20" s="51"/>
      <c r="O20" s="75"/>
    </row>
    <row r="21" spans="2:15" ht="29.4" x14ac:dyDescent="0.45">
      <c r="B21" s="178" t="s">
        <v>110</v>
      </c>
      <c r="C21" s="179"/>
      <c r="D21" s="179"/>
      <c r="E21" s="179"/>
      <c r="F21" s="179"/>
      <c r="G21" s="179"/>
      <c r="H21" s="179"/>
      <c r="I21" s="179"/>
      <c r="J21" s="179"/>
      <c r="K21" s="179"/>
      <c r="L21" s="179"/>
      <c r="M21" s="179"/>
      <c r="N21" s="179"/>
      <c r="O21" s="180"/>
    </row>
    <row r="22" spans="2:15" ht="29.4" x14ac:dyDescent="0.45">
      <c r="B22" s="178" t="s">
        <v>113</v>
      </c>
      <c r="C22" s="179"/>
      <c r="D22" s="179"/>
      <c r="E22" s="179"/>
      <c r="F22" s="179"/>
      <c r="G22" s="179"/>
      <c r="H22" s="179"/>
      <c r="I22" s="179"/>
      <c r="J22" s="179"/>
      <c r="K22" s="179"/>
      <c r="L22" s="179"/>
      <c r="M22" s="179"/>
      <c r="N22" s="179"/>
      <c r="O22" s="180"/>
    </row>
    <row r="23" spans="2:15" ht="29.4" x14ac:dyDescent="0.45">
      <c r="B23" s="178" t="s">
        <v>131</v>
      </c>
      <c r="C23" s="179"/>
      <c r="D23" s="179"/>
      <c r="E23" s="179"/>
      <c r="F23" s="179"/>
      <c r="G23" s="179"/>
      <c r="H23" s="179"/>
      <c r="I23" s="179"/>
      <c r="J23" s="179"/>
      <c r="K23" s="179"/>
      <c r="L23" s="179"/>
      <c r="M23" s="179"/>
      <c r="N23" s="179"/>
      <c r="O23" s="180"/>
    </row>
    <row r="24" spans="2:15" x14ac:dyDescent="0.3">
      <c r="B24" s="71"/>
      <c r="C24" s="51"/>
      <c r="D24" s="51"/>
      <c r="E24" s="51"/>
      <c r="F24" s="51"/>
      <c r="G24" s="51"/>
      <c r="H24" s="51"/>
      <c r="I24" s="51"/>
      <c r="J24" s="51"/>
      <c r="K24" s="51"/>
      <c r="L24" s="51"/>
      <c r="M24" s="51"/>
      <c r="N24" s="51"/>
      <c r="O24" s="75"/>
    </row>
    <row r="25" spans="2:15" ht="22.8" x14ac:dyDescent="0.4">
      <c r="B25" s="187" t="s">
        <v>111</v>
      </c>
      <c r="C25" s="188"/>
      <c r="D25" s="188"/>
      <c r="E25" s="188"/>
      <c r="F25" s="188"/>
      <c r="G25" s="188"/>
      <c r="H25" s="188"/>
      <c r="I25" s="188"/>
      <c r="J25" s="188"/>
      <c r="K25" s="188"/>
      <c r="L25" s="188"/>
      <c r="M25" s="188"/>
      <c r="N25" s="188"/>
      <c r="O25" s="189"/>
    </row>
    <row r="26" spans="2:15" ht="17.399999999999999" x14ac:dyDescent="0.3">
      <c r="B26" s="175" t="s">
        <v>112</v>
      </c>
      <c r="C26" s="176"/>
      <c r="D26" s="176"/>
      <c r="E26" s="176"/>
      <c r="F26" s="176"/>
      <c r="G26" s="176"/>
      <c r="H26" s="176"/>
      <c r="I26" s="176"/>
      <c r="J26" s="176"/>
      <c r="K26" s="176"/>
      <c r="L26" s="176"/>
      <c r="M26" s="176"/>
      <c r="N26" s="176"/>
      <c r="O26" s="177"/>
    </row>
    <row r="27" spans="2:15" x14ac:dyDescent="0.3">
      <c r="B27" s="71"/>
      <c r="C27" s="51"/>
      <c r="D27" s="51"/>
      <c r="E27" s="51"/>
      <c r="F27" s="51"/>
      <c r="G27" s="51"/>
      <c r="H27" s="51"/>
      <c r="I27" s="51"/>
      <c r="J27" s="51"/>
      <c r="K27" s="51"/>
      <c r="L27" s="51"/>
      <c r="M27" s="51"/>
      <c r="N27" s="51"/>
      <c r="O27" s="75"/>
    </row>
    <row r="28" spans="2:15" x14ac:dyDescent="0.3">
      <c r="B28" s="71"/>
      <c r="C28" s="51"/>
      <c r="D28" s="51"/>
      <c r="E28" s="51"/>
      <c r="F28" s="51"/>
      <c r="G28" s="51"/>
      <c r="H28" s="51"/>
      <c r="I28" s="51"/>
      <c r="J28" s="51"/>
      <c r="K28" s="51"/>
      <c r="L28" s="51"/>
      <c r="M28" s="51"/>
      <c r="N28" s="51"/>
      <c r="O28" s="75"/>
    </row>
    <row r="29" spans="2:15" ht="16.2" thickBot="1" x14ac:dyDescent="0.35">
      <c r="B29" s="83"/>
      <c r="C29" s="84"/>
      <c r="D29" s="84"/>
      <c r="E29" s="84"/>
      <c r="F29" s="84"/>
      <c r="G29" s="84"/>
      <c r="H29" s="84"/>
      <c r="I29" s="84"/>
      <c r="J29" s="84"/>
      <c r="K29" s="84"/>
      <c r="L29" s="84"/>
      <c r="M29" s="84"/>
      <c r="N29" s="84"/>
      <c r="O29" s="86"/>
    </row>
  </sheetData>
  <mergeCells count="8">
    <mergeCell ref="B26:O26"/>
    <mergeCell ref="B22:O22"/>
    <mergeCell ref="B16:O16"/>
    <mergeCell ref="B19:O19"/>
    <mergeCell ref="B21:O21"/>
    <mergeCell ref="B25:O25"/>
    <mergeCell ref="B17:O17"/>
    <mergeCell ref="B23:O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57"/>
  <sheetViews>
    <sheetView zoomScale="90" zoomScaleNormal="90" workbookViewId="0">
      <selection activeCell="K10" sqref="K10"/>
    </sheetView>
  </sheetViews>
  <sheetFormatPr defaultColWidth="9" defaultRowHeight="15.6" x14ac:dyDescent="0.3"/>
  <cols>
    <col min="1" max="1" width="3.59765625" style="168" customWidth="1"/>
    <col min="2" max="2" width="25.69921875" style="14" customWidth="1"/>
    <col min="3" max="3" width="9" style="14"/>
    <col min="4" max="4" width="8.59765625" style="14" customWidth="1"/>
    <col min="5" max="5" width="9" style="14" customWidth="1"/>
    <col min="6" max="6" width="9.8984375" style="14" customWidth="1"/>
    <col min="7" max="7" width="9" style="14"/>
    <col min="8" max="8" width="6" style="14" customWidth="1"/>
    <col min="9" max="10" width="9" style="14"/>
    <col min="11" max="11" width="4.69921875" style="168" customWidth="1"/>
    <col min="12" max="14" width="9" style="14" hidden="1" customWidth="1"/>
    <col min="15" max="15" width="10.5" style="14" hidden="1" customWidth="1"/>
    <col min="16" max="22" width="9" style="14" hidden="1" customWidth="1"/>
    <col min="23" max="23" width="23.5" style="14" customWidth="1"/>
    <col min="24" max="24" width="10.3984375" style="14" customWidth="1"/>
    <col min="25" max="25" width="9.3984375" style="25" customWidth="1"/>
    <col min="26" max="26" width="11.59765625" style="14" customWidth="1"/>
    <col min="27" max="27" width="10.09765625" style="14" customWidth="1"/>
    <col min="28" max="28" width="9.09765625" style="14" customWidth="1"/>
    <col min="29" max="29" width="9" style="168"/>
    <col min="30" max="32" width="9" style="27" hidden="1" customWidth="1"/>
    <col min="33" max="51" width="9" style="168"/>
    <col min="52" max="56" width="9" style="40"/>
    <col min="57" max="16384" width="9" style="14"/>
  </cols>
  <sheetData>
    <row r="1" spans="1:56" ht="33.6" x14ac:dyDescent="0.65">
      <c r="B1" s="207" t="s">
        <v>92</v>
      </c>
      <c r="C1" s="208"/>
      <c r="D1" s="208"/>
      <c r="E1" s="208"/>
      <c r="F1" s="208"/>
      <c r="G1" s="208"/>
      <c r="H1" s="208"/>
      <c r="I1" s="208"/>
      <c r="J1" s="209"/>
      <c r="K1" s="166"/>
      <c r="L1" s="2"/>
      <c r="M1" s="2"/>
      <c r="N1" s="2"/>
      <c r="O1" s="2"/>
      <c r="P1" s="2"/>
      <c r="Q1" s="2"/>
      <c r="R1" s="2"/>
      <c r="S1" s="2"/>
      <c r="T1" s="2"/>
      <c r="U1" s="2"/>
      <c r="V1" s="2"/>
      <c r="W1" s="210" t="s">
        <v>93</v>
      </c>
      <c r="X1" s="211"/>
      <c r="Y1" s="211"/>
      <c r="Z1" s="211"/>
      <c r="AA1" s="211"/>
      <c r="AB1" s="212"/>
      <c r="AC1" s="170"/>
    </row>
    <row r="2" spans="1:56" s="46" customFormat="1" ht="15.75" customHeight="1" x14ac:dyDescent="0.3">
      <c r="A2" s="167"/>
      <c r="B2" s="190" t="s">
        <v>141</v>
      </c>
      <c r="C2" s="191"/>
      <c r="D2" s="191"/>
      <c r="E2" s="48"/>
      <c r="F2" s="48"/>
      <c r="G2" s="48"/>
      <c r="H2" s="48"/>
      <c r="I2" s="48"/>
      <c r="J2" s="68"/>
      <c r="K2" s="167"/>
      <c r="L2" s="41"/>
      <c r="M2" s="41"/>
      <c r="N2" s="41"/>
      <c r="O2" s="41"/>
      <c r="P2" s="41"/>
      <c r="Q2" s="41"/>
      <c r="R2" s="41"/>
      <c r="S2" s="41"/>
      <c r="T2" s="41"/>
      <c r="U2" s="41"/>
      <c r="V2" s="41"/>
      <c r="W2" s="190" t="s">
        <v>142</v>
      </c>
      <c r="X2" s="191"/>
      <c r="Y2" s="191"/>
      <c r="Z2" s="191"/>
      <c r="AA2" s="59"/>
      <c r="AB2" s="87"/>
      <c r="AC2" s="171"/>
      <c r="AD2" s="42"/>
      <c r="AE2" s="42"/>
      <c r="AF2" s="42"/>
      <c r="AG2" s="167"/>
      <c r="AH2" s="167"/>
      <c r="AI2" s="167"/>
      <c r="AJ2" s="167"/>
      <c r="AK2" s="167"/>
      <c r="AL2" s="167"/>
      <c r="AM2" s="167"/>
      <c r="AN2" s="167"/>
      <c r="AO2" s="167"/>
      <c r="AP2" s="167"/>
      <c r="AQ2" s="167"/>
      <c r="AR2" s="167"/>
      <c r="AS2" s="167"/>
      <c r="AT2" s="167"/>
      <c r="AU2" s="167"/>
      <c r="AV2" s="167"/>
      <c r="AW2" s="167"/>
      <c r="AX2" s="167"/>
      <c r="AY2" s="167"/>
      <c r="AZ2" s="45"/>
      <c r="BA2" s="45"/>
      <c r="BB2" s="45"/>
      <c r="BC2" s="45"/>
      <c r="BD2" s="45"/>
    </row>
    <row r="3" spans="1:56" s="46" customFormat="1" ht="15.75" customHeight="1" x14ac:dyDescent="0.3">
      <c r="A3" s="167"/>
      <c r="B3" s="192"/>
      <c r="C3" s="193"/>
      <c r="D3" s="193"/>
      <c r="E3" s="47"/>
      <c r="F3" s="47"/>
      <c r="G3" s="47"/>
      <c r="H3" s="47"/>
      <c r="I3" s="47"/>
      <c r="J3" s="69"/>
      <c r="K3" s="167"/>
      <c r="L3" s="41"/>
      <c r="M3" s="41"/>
      <c r="N3" s="41"/>
      <c r="O3" s="41"/>
      <c r="P3" s="41"/>
      <c r="Q3" s="41"/>
      <c r="R3" s="41"/>
      <c r="S3" s="41"/>
      <c r="T3" s="41"/>
      <c r="U3" s="41"/>
      <c r="V3" s="41"/>
      <c r="W3" s="192"/>
      <c r="X3" s="193"/>
      <c r="Y3" s="193"/>
      <c r="Z3" s="193"/>
      <c r="AA3" s="60"/>
      <c r="AB3" s="69"/>
      <c r="AC3" s="171"/>
      <c r="AD3" s="42"/>
      <c r="AE3" s="42"/>
      <c r="AF3" s="42"/>
      <c r="AG3" s="167"/>
      <c r="AH3" s="167"/>
      <c r="AI3" s="167"/>
      <c r="AJ3" s="167"/>
      <c r="AK3" s="167"/>
      <c r="AL3" s="167"/>
      <c r="AM3" s="167"/>
      <c r="AN3" s="167"/>
      <c r="AO3" s="167"/>
      <c r="AP3" s="167"/>
      <c r="AQ3" s="167"/>
      <c r="AR3" s="167"/>
      <c r="AS3" s="167"/>
      <c r="AT3" s="167"/>
      <c r="AU3" s="167"/>
      <c r="AV3" s="167"/>
      <c r="AW3" s="167"/>
      <c r="AX3" s="167"/>
      <c r="AY3" s="167"/>
      <c r="AZ3" s="45"/>
      <c r="BA3" s="45"/>
      <c r="BB3" s="45"/>
      <c r="BC3" s="45"/>
      <c r="BD3" s="45"/>
    </row>
    <row r="4" spans="1:56" s="46" customFormat="1" ht="15.75" customHeight="1" x14ac:dyDescent="0.3">
      <c r="A4" s="167"/>
      <c r="B4" s="192"/>
      <c r="C4" s="193"/>
      <c r="D4" s="193"/>
      <c r="E4" s="47"/>
      <c r="F4" s="47"/>
      <c r="G4" s="47"/>
      <c r="H4" s="47"/>
      <c r="I4" s="47"/>
      <c r="J4" s="69"/>
      <c r="K4" s="167"/>
      <c r="L4" s="41"/>
      <c r="M4" s="41"/>
      <c r="N4" s="41"/>
      <c r="O4" s="41"/>
      <c r="P4" s="41"/>
      <c r="Q4" s="41"/>
      <c r="R4" s="41"/>
      <c r="S4" s="41"/>
      <c r="T4" s="41"/>
      <c r="U4" s="41"/>
      <c r="V4" s="41"/>
      <c r="W4" s="192"/>
      <c r="X4" s="193"/>
      <c r="Y4" s="193"/>
      <c r="Z4" s="193"/>
      <c r="AA4" s="60"/>
      <c r="AB4" s="69"/>
      <c r="AC4" s="171"/>
      <c r="AD4" s="42"/>
      <c r="AE4" s="42"/>
      <c r="AF4" s="42"/>
      <c r="AG4" s="167"/>
      <c r="AH4" s="167"/>
      <c r="AI4" s="167"/>
      <c r="AJ4" s="167"/>
      <c r="AK4" s="167"/>
      <c r="AL4" s="167"/>
      <c r="AM4" s="167"/>
      <c r="AN4" s="167"/>
      <c r="AO4" s="167"/>
      <c r="AP4" s="167"/>
      <c r="AQ4" s="167"/>
      <c r="AR4" s="167"/>
      <c r="AS4" s="167"/>
      <c r="AT4" s="167"/>
      <c r="AU4" s="167"/>
      <c r="AV4" s="167"/>
      <c r="AW4" s="167"/>
      <c r="AX4" s="167"/>
      <c r="AY4" s="167"/>
      <c r="AZ4" s="45"/>
      <c r="BA4" s="45"/>
      <c r="BB4" s="45"/>
      <c r="BC4" s="45"/>
      <c r="BD4" s="45"/>
    </row>
    <row r="5" spans="1:56" s="46" customFormat="1" ht="15.75" customHeight="1" x14ac:dyDescent="0.3">
      <c r="A5" s="167"/>
      <c r="B5" s="70" t="s">
        <v>0</v>
      </c>
      <c r="C5" s="47"/>
      <c r="D5" s="37">
        <v>100</v>
      </c>
      <c r="E5" s="47" t="s">
        <v>1</v>
      </c>
      <c r="F5" s="215" t="str">
        <f>IF(NatPregRate=0,"",IF(NatWeanRate&gt;NatPregRate,"WARNING: Calving Rate is greater than End of Season Pregnancy Rate",""))</f>
        <v/>
      </c>
      <c r="G5" s="215"/>
      <c r="H5" s="47"/>
      <c r="I5" s="47"/>
      <c r="J5" s="69"/>
      <c r="K5" s="167"/>
      <c r="L5" s="41"/>
      <c r="M5" s="41"/>
      <c r="N5" s="41"/>
      <c r="O5" s="41"/>
      <c r="P5" s="41"/>
      <c r="Q5" s="41"/>
      <c r="R5" s="41"/>
      <c r="S5" s="41"/>
      <c r="T5" s="41"/>
      <c r="U5" s="41"/>
      <c r="V5" s="41"/>
      <c r="W5" s="70" t="s">
        <v>0</v>
      </c>
      <c r="X5" s="47"/>
      <c r="Y5" s="112">
        <f>HerdSize</f>
        <v>100</v>
      </c>
      <c r="Z5" s="47" t="s">
        <v>1</v>
      </c>
      <c r="AA5" s="60"/>
      <c r="AB5" s="69"/>
      <c r="AC5" s="171"/>
      <c r="AD5" s="42"/>
      <c r="AE5" s="42"/>
      <c r="AF5" s="42"/>
      <c r="AG5" s="167"/>
      <c r="AH5" s="167"/>
      <c r="AI5" s="167"/>
      <c r="AJ5" s="167"/>
      <c r="AK5" s="167"/>
      <c r="AL5" s="167"/>
      <c r="AM5" s="167"/>
      <c r="AN5" s="167"/>
      <c r="AO5" s="167"/>
      <c r="AP5" s="167"/>
      <c r="AQ5" s="167"/>
      <c r="AR5" s="167"/>
      <c r="AS5" s="167"/>
      <c r="AT5" s="167"/>
      <c r="AU5" s="167"/>
      <c r="AV5" s="167"/>
      <c r="AW5" s="167"/>
      <c r="AX5" s="167"/>
      <c r="AY5" s="167"/>
      <c r="AZ5" s="45"/>
      <c r="BA5" s="45"/>
      <c r="BB5" s="45"/>
      <c r="BC5" s="45"/>
      <c r="BD5" s="45"/>
    </row>
    <row r="6" spans="1:56" s="46" customFormat="1" ht="15.75" customHeight="1" x14ac:dyDescent="0.3">
      <c r="A6" s="167"/>
      <c r="B6" s="71" t="s">
        <v>3</v>
      </c>
      <c r="C6" s="51"/>
      <c r="D6" s="15">
        <v>4</v>
      </c>
      <c r="E6" s="51" t="s">
        <v>1</v>
      </c>
      <c r="F6" s="215"/>
      <c r="G6" s="215"/>
      <c r="H6" s="47"/>
      <c r="I6" s="47"/>
      <c r="J6" s="69"/>
      <c r="K6" s="167"/>
      <c r="L6" s="41"/>
      <c r="M6" s="41"/>
      <c r="N6" s="41"/>
      <c r="O6" s="41"/>
      <c r="P6" s="41"/>
      <c r="Q6" s="41"/>
      <c r="R6" s="41"/>
      <c r="S6" s="41"/>
      <c r="T6" s="41"/>
      <c r="U6" s="41"/>
      <c r="V6" s="41"/>
      <c r="W6" s="70" t="s">
        <v>132</v>
      </c>
      <c r="X6" s="47"/>
      <c r="Y6" s="37">
        <v>1</v>
      </c>
      <c r="Z6" s="47" t="s">
        <v>1</v>
      </c>
      <c r="AA6" s="53" t="str">
        <f>IF(AISystemPregRate=0,"",IF(AIWeanRate&gt;AISystemPregRate,"WARNING: Weaning Rate is greater than Pregnancy Rate",""))</f>
        <v/>
      </c>
      <c r="AB6" s="88"/>
      <c r="AC6" s="171"/>
      <c r="AD6" s="42"/>
      <c r="AE6" s="42"/>
      <c r="AF6" s="42"/>
      <c r="AG6" s="167"/>
      <c r="AH6" s="167"/>
      <c r="AI6" s="167"/>
      <c r="AJ6" s="167"/>
      <c r="AK6" s="167"/>
      <c r="AL6" s="167"/>
      <c r="AM6" s="167"/>
      <c r="AN6" s="167"/>
      <c r="AO6" s="167"/>
      <c r="AP6" s="167"/>
      <c r="AQ6" s="167"/>
      <c r="AR6" s="167"/>
      <c r="AS6" s="167"/>
      <c r="AT6" s="167"/>
      <c r="AU6" s="167"/>
      <c r="AV6" s="167"/>
      <c r="AW6" s="167"/>
      <c r="AX6" s="167"/>
      <c r="AY6" s="167"/>
      <c r="AZ6" s="45"/>
      <c r="BA6" s="45"/>
      <c r="BB6" s="45"/>
      <c r="BC6" s="45"/>
      <c r="BD6" s="45"/>
    </row>
    <row r="7" spans="1:56" s="46" customFormat="1" ht="15.75" customHeight="1" x14ac:dyDescent="0.3">
      <c r="A7" s="167"/>
      <c r="B7" s="70" t="s">
        <v>145</v>
      </c>
      <c r="C7" s="47"/>
      <c r="D7" s="37">
        <v>93</v>
      </c>
      <c r="E7" s="47" t="s">
        <v>2</v>
      </c>
      <c r="F7" s="215"/>
      <c r="G7" s="215"/>
      <c r="H7" s="47"/>
      <c r="I7" s="47"/>
      <c r="J7" s="69"/>
      <c r="K7" s="167"/>
      <c r="L7" s="41"/>
      <c r="M7" s="41"/>
      <c r="N7" s="41"/>
      <c r="O7" s="41"/>
      <c r="P7" s="41"/>
      <c r="Q7" s="41"/>
      <c r="R7" s="41"/>
      <c r="S7" s="41"/>
      <c r="T7" s="41"/>
      <c r="U7" s="41"/>
      <c r="V7" s="41"/>
      <c r="W7" s="70" t="s">
        <v>145</v>
      </c>
      <c r="X7" s="47"/>
      <c r="Y7" s="37">
        <v>94</v>
      </c>
      <c r="Z7" s="47" t="s">
        <v>2</v>
      </c>
      <c r="AA7" s="53"/>
      <c r="AB7" s="88"/>
      <c r="AC7" s="171"/>
      <c r="AD7" s="42"/>
      <c r="AE7" s="42"/>
      <c r="AF7" s="42"/>
      <c r="AG7" s="167"/>
      <c r="AH7" s="167"/>
      <c r="AI7" s="167"/>
      <c r="AJ7" s="167"/>
      <c r="AK7" s="167"/>
      <c r="AL7" s="167"/>
      <c r="AM7" s="167"/>
      <c r="AN7" s="167"/>
      <c r="AO7" s="167"/>
      <c r="AP7" s="167"/>
      <c r="AQ7" s="167"/>
      <c r="AR7" s="167"/>
      <c r="AS7" s="167"/>
      <c r="AT7" s="167"/>
      <c r="AU7" s="167"/>
      <c r="AV7" s="167"/>
      <c r="AW7" s="167"/>
      <c r="AX7" s="167"/>
      <c r="AY7" s="167"/>
      <c r="AZ7" s="45"/>
      <c r="BA7" s="45"/>
      <c r="BB7" s="45"/>
      <c r="BC7" s="45"/>
      <c r="BD7" s="45"/>
    </row>
    <row r="8" spans="1:56" s="46" customFormat="1" ht="15.75" customHeight="1" x14ac:dyDescent="0.3">
      <c r="A8" s="167"/>
      <c r="B8" s="70" t="s">
        <v>143</v>
      </c>
      <c r="C8" s="47"/>
      <c r="D8" s="38">
        <v>93</v>
      </c>
      <c r="E8" s="47" t="s">
        <v>2</v>
      </c>
      <c r="F8" s="215"/>
      <c r="G8" s="215"/>
      <c r="H8" s="47"/>
      <c r="I8" s="47"/>
      <c r="J8" s="69"/>
      <c r="K8" s="167"/>
      <c r="L8" s="41"/>
      <c r="M8" s="41"/>
      <c r="N8" s="41"/>
      <c r="O8" s="41"/>
      <c r="P8" s="41"/>
      <c r="Q8" s="41"/>
      <c r="R8" s="41"/>
      <c r="S8" s="41"/>
      <c r="T8" s="41"/>
      <c r="U8" s="41"/>
      <c r="V8" s="41"/>
      <c r="W8" s="70" t="s">
        <v>143</v>
      </c>
      <c r="X8" s="47"/>
      <c r="Y8" s="38">
        <v>94</v>
      </c>
      <c r="Z8" s="47" t="s">
        <v>2</v>
      </c>
      <c r="AA8" s="53"/>
      <c r="AB8" s="88"/>
      <c r="AC8" s="171"/>
      <c r="AD8" s="42"/>
      <c r="AE8" s="42"/>
      <c r="AF8" s="42"/>
      <c r="AG8" s="167"/>
      <c r="AH8" s="167"/>
      <c r="AI8" s="167"/>
      <c r="AJ8" s="167"/>
      <c r="AK8" s="167"/>
      <c r="AL8" s="167"/>
      <c r="AM8" s="167"/>
      <c r="AN8" s="167"/>
      <c r="AO8" s="167"/>
      <c r="AP8" s="167"/>
      <c r="AQ8" s="167"/>
      <c r="AR8" s="167"/>
      <c r="AS8" s="167"/>
      <c r="AT8" s="167"/>
      <c r="AU8" s="167"/>
      <c r="AV8" s="167"/>
      <c r="AW8" s="167"/>
      <c r="AX8" s="167"/>
      <c r="AY8" s="167"/>
      <c r="AZ8" s="45"/>
      <c r="BA8" s="45"/>
      <c r="BB8" s="45"/>
      <c r="BC8" s="45"/>
      <c r="BD8" s="45"/>
    </row>
    <row r="9" spans="1:56" s="46" customFormat="1" ht="15.75" customHeight="1" x14ac:dyDescent="0.3">
      <c r="A9" s="167"/>
      <c r="B9" s="70" t="s">
        <v>118</v>
      </c>
      <c r="C9" s="47"/>
      <c r="D9" s="38">
        <v>5</v>
      </c>
      <c r="E9" s="47" t="s">
        <v>2</v>
      </c>
      <c r="F9" s="215"/>
      <c r="G9" s="215"/>
      <c r="H9" s="47"/>
      <c r="I9" s="47"/>
      <c r="J9" s="69"/>
      <c r="K9" s="167"/>
      <c r="L9" s="41"/>
      <c r="M9" s="41"/>
      <c r="N9" s="41"/>
      <c r="O9" s="41"/>
      <c r="P9" s="41"/>
      <c r="Q9" s="41"/>
      <c r="R9" s="41"/>
      <c r="S9" s="41"/>
      <c r="T9" s="41"/>
      <c r="U9" s="41"/>
      <c r="V9" s="41"/>
      <c r="W9" s="70" t="s">
        <v>149</v>
      </c>
      <c r="X9" s="47"/>
      <c r="Y9" s="38">
        <v>12</v>
      </c>
      <c r="Z9" s="47" t="s">
        <v>73</v>
      </c>
      <c r="AA9" s="61"/>
      <c r="AB9" s="89"/>
      <c r="AC9" s="171"/>
      <c r="AD9" s="42"/>
      <c r="AE9" s="42"/>
      <c r="AF9" s="42"/>
      <c r="AG9" s="167"/>
      <c r="AH9" s="167"/>
      <c r="AI9" s="167"/>
      <c r="AJ9" s="167"/>
      <c r="AK9" s="167"/>
      <c r="AL9" s="167"/>
      <c r="AM9" s="167"/>
      <c r="AN9" s="167"/>
      <c r="AO9" s="167"/>
      <c r="AP9" s="167"/>
      <c r="AQ9" s="167"/>
      <c r="AR9" s="167"/>
      <c r="AS9" s="167"/>
      <c r="AT9" s="167"/>
      <c r="AU9" s="167"/>
      <c r="AV9" s="167"/>
      <c r="AW9" s="167"/>
      <c r="AX9" s="167"/>
      <c r="AY9" s="167"/>
      <c r="AZ9" s="45"/>
      <c r="BA9" s="45"/>
      <c r="BB9" s="45"/>
      <c r="BC9" s="45"/>
      <c r="BD9" s="45"/>
    </row>
    <row r="10" spans="1:56" s="46" customFormat="1" ht="15.75" customHeight="1" x14ac:dyDescent="0.3">
      <c r="A10" s="167"/>
      <c r="B10" s="70" t="s">
        <v>119</v>
      </c>
      <c r="C10" s="47"/>
      <c r="D10" s="38">
        <v>900</v>
      </c>
      <c r="E10" s="47" t="s">
        <v>104</v>
      </c>
      <c r="F10" s="53"/>
      <c r="G10" s="53"/>
      <c r="H10" s="47"/>
      <c r="I10" s="47"/>
      <c r="J10" s="69"/>
      <c r="K10" s="167"/>
      <c r="L10" s="41"/>
      <c r="M10" s="41"/>
      <c r="N10" s="41"/>
      <c r="O10" s="41"/>
      <c r="P10" s="41"/>
      <c r="Q10" s="41"/>
      <c r="R10" s="41"/>
      <c r="S10" s="41"/>
      <c r="T10" s="41"/>
      <c r="U10" s="41"/>
      <c r="V10" s="41"/>
      <c r="W10" s="90"/>
      <c r="X10" s="49"/>
      <c r="Y10" s="49"/>
      <c r="Z10" s="49"/>
      <c r="AA10" s="49"/>
      <c r="AB10" s="73"/>
      <c r="AC10" s="171"/>
      <c r="AD10" s="42"/>
      <c r="AE10" s="42"/>
      <c r="AF10" s="42"/>
      <c r="AG10" s="167"/>
      <c r="AH10" s="167"/>
      <c r="AI10" s="167"/>
      <c r="AJ10" s="167"/>
      <c r="AK10" s="167"/>
      <c r="AL10" s="167"/>
      <c r="AM10" s="167"/>
      <c r="AN10" s="167"/>
      <c r="AO10" s="167"/>
      <c r="AP10" s="167"/>
      <c r="AQ10" s="167"/>
      <c r="AR10" s="167"/>
      <c r="AS10" s="167"/>
      <c r="AT10" s="167"/>
      <c r="AU10" s="167"/>
      <c r="AV10" s="167"/>
      <c r="AW10" s="167"/>
      <c r="AX10" s="167"/>
      <c r="AY10" s="167"/>
      <c r="AZ10" s="45"/>
      <c r="BA10" s="45"/>
      <c r="BB10" s="45"/>
      <c r="BC10" s="45"/>
      <c r="BD10" s="45"/>
    </row>
    <row r="11" spans="1:56" s="46" customFormat="1" ht="15.75" customHeight="1" x14ac:dyDescent="0.3">
      <c r="A11" s="167"/>
      <c r="B11" s="72"/>
      <c r="C11" s="49"/>
      <c r="D11" s="49"/>
      <c r="E11" s="49"/>
      <c r="F11" s="49"/>
      <c r="G11" s="49"/>
      <c r="H11" s="49"/>
      <c r="I11" s="49"/>
      <c r="J11" s="73"/>
      <c r="K11" s="167"/>
      <c r="L11" s="41"/>
      <c r="M11" s="41"/>
      <c r="N11" s="41"/>
      <c r="O11" s="41"/>
      <c r="P11" s="41"/>
      <c r="Q11" s="41"/>
      <c r="R11" s="41"/>
      <c r="S11" s="41"/>
      <c r="T11" s="41"/>
      <c r="U11" s="41"/>
      <c r="V11" s="41"/>
      <c r="W11" s="190" t="s">
        <v>114</v>
      </c>
      <c r="X11" s="191"/>
      <c r="Y11" s="59"/>
      <c r="Z11" s="48"/>
      <c r="AA11" s="48"/>
      <c r="AB11" s="68"/>
      <c r="AC11" s="167"/>
      <c r="AD11" s="42" t="s">
        <v>1</v>
      </c>
      <c r="AE11" s="42" t="s">
        <v>71</v>
      </c>
      <c r="AF11" s="42" t="s">
        <v>135</v>
      </c>
      <c r="AG11" s="167"/>
      <c r="AH11" s="167"/>
      <c r="AI11" s="167"/>
      <c r="AJ11" s="167"/>
      <c r="AK11" s="167"/>
      <c r="AL11" s="167"/>
      <c r="AM11" s="167"/>
      <c r="AN11" s="167"/>
      <c r="AO11" s="167"/>
      <c r="AP11" s="167"/>
      <c r="AQ11" s="167"/>
      <c r="AR11" s="167"/>
      <c r="AS11" s="167"/>
      <c r="AT11" s="167"/>
      <c r="AU11" s="167"/>
      <c r="AV11" s="167"/>
      <c r="AW11" s="167"/>
      <c r="AX11" s="167"/>
      <c r="AY11" s="167"/>
      <c r="AZ11" s="45"/>
      <c r="BA11" s="45"/>
      <c r="BB11" s="45"/>
      <c r="BC11" s="45"/>
      <c r="BD11" s="45"/>
    </row>
    <row r="12" spans="1:56" s="46" customFormat="1" ht="15.75" customHeight="1" x14ac:dyDescent="0.3">
      <c r="A12" s="167"/>
      <c r="B12" s="190" t="s">
        <v>55</v>
      </c>
      <c r="C12" s="50"/>
      <c r="D12" s="50"/>
      <c r="E12" s="50"/>
      <c r="F12" s="50"/>
      <c r="G12" s="50"/>
      <c r="H12" s="50"/>
      <c r="I12" s="50"/>
      <c r="J12" s="74"/>
      <c r="K12" s="168"/>
      <c r="L12" s="2"/>
      <c r="M12" s="2"/>
      <c r="N12" s="2"/>
      <c r="O12" s="2"/>
      <c r="P12" s="2"/>
      <c r="Q12" s="2"/>
      <c r="R12" s="2"/>
      <c r="S12" s="2"/>
      <c r="T12" s="2"/>
      <c r="U12" s="2"/>
      <c r="V12" s="2"/>
      <c r="W12" s="192"/>
      <c r="X12" s="193"/>
      <c r="Y12" s="62"/>
      <c r="Z12" s="51"/>
      <c r="AA12" s="194" t="s">
        <v>82</v>
      </c>
      <c r="AB12" s="75"/>
      <c r="AC12" s="168"/>
      <c r="AD12" s="27" t="s">
        <v>84</v>
      </c>
      <c r="AE12" s="27" t="s">
        <v>56</v>
      </c>
      <c r="AF12" s="27"/>
      <c r="AG12" s="167"/>
      <c r="AH12" s="167"/>
      <c r="AI12" s="167"/>
      <c r="AJ12" s="167"/>
      <c r="AK12" s="167"/>
      <c r="AL12" s="167"/>
      <c r="AM12" s="167"/>
      <c r="AN12" s="167"/>
      <c r="AO12" s="167"/>
      <c r="AP12" s="167"/>
      <c r="AQ12" s="167"/>
      <c r="AR12" s="167"/>
      <c r="AS12" s="167"/>
      <c r="AT12" s="167"/>
      <c r="AU12" s="167"/>
      <c r="AV12" s="167"/>
      <c r="AW12" s="167"/>
      <c r="AX12" s="167"/>
      <c r="AY12" s="167"/>
      <c r="AZ12" s="45"/>
      <c r="BA12" s="45"/>
      <c r="BB12" s="45"/>
      <c r="BC12" s="45"/>
      <c r="BD12" s="45"/>
    </row>
    <row r="13" spans="1:56" ht="15.75" customHeight="1" x14ac:dyDescent="0.3">
      <c r="B13" s="192"/>
      <c r="C13" s="51"/>
      <c r="D13" s="51"/>
      <c r="E13" s="51"/>
      <c r="F13" s="51"/>
      <c r="G13" s="51"/>
      <c r="H13" s="51"/>
      <c r="I13" s="51"/>
      <c r="J13" s="75"/>
      <c r="L13" s="2"/>
      <c r="M13" s="2"/>
      <c r="N13" s="2"/>
      <c r="O13" s="2"/>
      <c r="P13" s="2"/>
      <c r="Q13" s="2"/>
      <c r="R13" s="2"/>
      <c r="S13" s="2"/>
      <c r="T13" s="2"/>
      <c r="U13" s="2"/>
      <c r="V13" s="2"/>
      <c r="W13" s="213"/>
      <c r="X13" s="214"/>
      <c r="Y13" s="62"/>
      <c r="Z13" s="51"/>
      <c r="AA13" s="195"/>
      <c r="AB13" s="75"/>
    </row>
    <row r="14" spans="1:56" ht="15.75" customHeight="1" x14ac:dyDescent="0.3">
      <c r="B14" s="192"/>
      <c r="C14" s="51"/>
      <c r="D14" s="51"/>
      <c r="E14" s="51"/>
      <c r="F14" s="51"/>
      <c r="G14" s="51"/>
      <c r="H14" s="51"/>
      <c r="I14" s="51"/>
      <c r="J14" s="75"/>
      <c r="L14" s="2"/>
      <c r="M14" s="2"/>
      <c r="N14" s="2"/>
      <c r="O14" s="2"/>
      <c r="P14" s="2"/>
      <c r="Q14" s="2"/>
      <c r="R14" s="2"/>
      <c r="S14" s="2"/>
      <c r="T14" s="2"/>
      <c r="U14" s="2"/>
      <c r="V14" s="2"/>
      <c r="W14" s="78" t="s">
        <v>148</v>
      </c>
      <c r="X14" s="13">
        <v>10</v>
      </c>
      <c r="Y14" s="63" t="s">
        <v>70</v>
      </c>
      <c r="Z14" s="1" t="s">
        <v>71</v>
      </c>
      <c r="AA14" s="109">
        <f>IF(HerdSize=0,0,X14*WageRate/IF(Z14="all cows",HerdSize,1))</f>
        <v>1.2</v>
      </c>
      <c r="AB14" s="75"/>
    </row>
    <row r="15" spans="1:56" ht="15.75" customHeight="1" x14ac:dyDescent="0.3">
      <c r="B15" s="71" t="s">
        <v>4</v>
      </c>
      <c r="C15" s="51"/>
      <c r="D15" s="15">
        <v>4000</v>
      </c>
      <c r="E15" s="51"/>
      <c r="F15" s="51"/>
      <c r="G15" s="51"/>
      <c r="H15" s="51"/>
      <c r="I15" s="51"/>
      <c r="J15" s="75"/>
      <c r="L15" s="2"/>
      <c r="M15" s="2"/>
      <c r="N15" s="2"/>
      <c r="O15" s="2"/>
      <c r="P15" s="2"/>
      <c r="Q15" s="2"/>
      <c r="R15" s="2"/>
      <c r="S15" s="2"/>
      <c r="T15" s="2"/>
      <c r="U15" s="2"/>
      <c r="V15" s="2"/>
      <c r="W15" s="79" t="s">
        <v>98</v>
      </c>
      <c r="X15" s="13">
        <v>6</v>
      </c>
      <c r="Y15" s="63" t="s">
        <v>72</v>
      </c>
      <c r="Z15" s="1" t="s">
        <v>1</v>
      </c>
      <c r="AA15" s="110">
        <f>IF(HerdSize=0,0,X15/IF(Z15="all cows",HerdSize,1))</f>
        <v>6</v>
      </c>
      <c r="AB15" s="75"/>
    </row>
    <row r="16" spans="1:56" ht="15.75" customHeight="1" x14ac:dyDescent="0.3">
      <c r="B16" s="71" t="s">
        <v>7</v>
      </c>
      <c r="C16" s="51"/>
      <c r="D16" s="13">
        <v>4</v>
      </c>
      <c r="E16" s="51" t="s">
        <v>9</v>
      </c>
      <c r="F16" s="51"/>
      <c r="G16" s="51"/>
      <c r="H16" s="51"/>
      <c r="I16" s="51"/>
      <c r="J16" s="75"/>
      <c r="L16" s="2"/>
      <c r="M16" s="2"/>
      <c r="N16" s="4"/>
      <c r="O16" s="18"/>
      <c r="P16" s="18"/>
      <c r="Q16" s="2"/>
      <c r="R16" s="2"/>
      <c r="S16" s="2"/>
      <c r="T16" s="2"/>
      <c r="U16" s="2"/>
      <c r="V16" s="2"/>
      <c r="W16" s="79"/>
      <c r="X16" s="13"/>
      <c r="Y16" s="63" t="s">
        <v>72</v>
      </c>
      <c r="Z16" s="1" t="s">
        <v>71</v>
      </c>
      <c r="AA16" s="110">
        <f>IF(HerdSize=0,0,X16/IF(Z16="all cows",HerdSize,1))</f>
        <v>0</v>
      </c>
      <c r="AB16" s="75"/>
    </row>
    <row r="17" spans="2:28" ht="15.75" customHeight="1" x14ac:dyDescent="0.3">
      <c r="B17" s="71" t="s">
        <v>144</v>
      </c>
      <c r="C17" s="51"/>
      <c r="D17" s="13">
        <v>5</v>
      </c>
      <c r="E17" s="51" t="s">
        <v>2</v>
      </c>
      <c r="F17" s="51"/>
      <c r="G17" s="51"/>
      <c r="H17" s="51"/>
      <c r="I17" s="51"/>
      <c r="J17" s="75"/>
      <c r="L17" s="2"/>
      <c r="M17" s="2"/>
      <c r="N17" s="4"/>
      <c r="O17" s="5"/>
      <c r="P17" s="18"/>
      <c r="Q17" s="2"/>
      <c r="R17" s="2"/>
      <c r="S17" s="2"/>
      <c r="T17" s="2"/>
      <c r="U17" s="2"/>
      <c r="V17" s="2"/>
      <c r="W17" s="79"/>
      <c r="X17" s="13"/>
      <c r="Y17" s="63" t="s">
        <v>72</v>
      </c>
      <c r="Z17" s="1" t="s">
        <v>71</v>
      </c>
      <c r="AA17" s="110">
        <f>IF(HerdSize=0,0,X17/IF(Z17="all cows",HerdSize,1))</f>
        <v>0</v>
      </c>
      <c r="AB17" s="75"/>
    </row>
    <row r="18" spans="2:28" ht="15.75" customHeight="1" x14ac:dyDescent="0.3">
      <c r="B18" s="71" t="s">
        <v>6</v>
      </c>
      <c r="C18" s="51"/>
      <c r="D18" s="13">
        <v>2</v>
      </c>
      <c r="E18" s="51" t="s">
        <v>2</v>
      </c>
      <c r="F18" s="51"/>
      <c r="G18" s="51"/>
      <c r="H18" s="51"/>
      <c r="I18" s="51"/>
      <c r="J18" s="75"/>
      <c r="L18" s="2"/>
      <c r="M18" s="2"/>
      <c r="N18" s="4"/>
      <c r="O18" s="18"/>
      <c r="P18" s="2"/>
      <c r="Q18" s="2"/>
      <c r="R18" s="2"/>
      <c r="S18" s="2"/>
      <c r="T18" s="2"/>
      <c r="U18" s="2"/>
      <c r="V18" s="2"/>
      <c r="W18" s="76"/>
      <c r="X18" s="52"/>
      <c r="Y18" s="52"/>
      <c r="Z18" s="52"/>
      <c r="AA18" s="52"/>
      <c r="AB18" s="77"/>
    </row>
    <row r="19" spans="2:28" ht="15.75" customHeight="1" x14ac:dyDescent="0.3">
      <c r="B19" s="71" t="s">
        <v>5</v>
      </c>
      <c r="C19" s="51"/>
      <c r="D19" s="15">
        <v>2050</v>
      </c>
      <c r="E19" s="51" t="s">
        <v>10</v>
      </c>
      <c r="F19" s="104"/>
      <c r="G19" s="105" t="s">
        <v>61</v>
      </c>
      <c r="H19" s="247">
        <f>D19*D20/100</f>
        <v>1435</v>
      </c>
      <c r="I19" s="248"/>
      <c r="J19" s="75"/>
      <c r="L19" s="2"/>
      <c r="M19" s="2"/>
      <c r="N19" s="2"/>
      <c r="O19" s="2"/>
      <c r="P19" s="2"/>
      <c r="Q19" s="2"/>
      <c r="R19" s="2"/>
      <c r="S19" s="2"/>
      <c r="T19" s="2"/>
      <c r="U19" s="2"/>
      <c r="V19" s="2"/>
      <c r="W19" s="190" t="s">
        <v>83</v>
      </c>
      <c r="X19" s="191"/>
      <c r="Y19" s="191"/>
      <c r="Z19" s="191"/>
      <c r="AA19" s="59"/>
      <c r="AB19" s="87"/>
    </row>
    <row r="20" spans="2:28" ht="15.75" customHeight="1" x14ac:dyDescent="0.3">
      <c r="B20" s="71" t="s">
        <v>8</v>
      </c>
      <c r="C20" s="51"/>
      <c r="D20" s="13">
        <v>70</v>
      </c>
      <c r="E20" s="51" t="s">
        <v>11</v>
      </c>
      <c r="F20" s="106"/>
      <c r="G20" s="107" t="s">
        <v>62</v>
      </c>
      <c r="H20" s="249">
        <f>(D15+H19)/2</f>
        <v>2717.5</v>
      </c>
      <c r="I20" s="250"/>
      <c r="J20" s="75"/>
      <c r="L20" s="2"/>
      <c r="M20" s="2"/>
      <c r="N20" s="4"/>
      <c r="O20" s="3"/>
      <c r="P20" s="2"/>
      <c r="Q20" s="2"/>
      <c r="R20" s="2"/>
      <c r="S20" s="2"/>
      <c r="T20" s="2"/>
      <c r="U20" s="2"/>
      <c r="V20" s="2"/>
      <c r="W20" s="192"/>
      <c r="X20" s="193"/>
      <c r="Y20" s="193"/>
      <c r="Z20" s="193"/>
      <c r="AA20" s="194" t="s">
        <v>82</v>
      </c>
      <c r="AB20" s="91"/>
    </row>
    <row r="21" spans="2:28" ht="15.75" customHeight="1" x14ac:dyDescent="0.3">
      <c r="B21" s="76"/>
      <c r="C21" s="52"/>
      <c r="D21" s="52"/>
      <c r="E21" s="52"/>
      <c r="F21" s="52"/>
      <c r="G21" s="54"/>
      <c r="H21" s="52"/>
      <c r="I21" s="52"/>
      <c r="J21" s="77"/>
      <c r="L21" s="2"/>
      <c r="M21" s="2"/>
      <c r="N21" s="2"/>
      <c r="O21" s="2"/>
      <c r="P21" s="2"/>
      <c r="Q21" s="2"/>
      <c r="R21" s="2"/>
      <c r="S21" s="2"/>
      <c r="T21" s="2"/>
      <c r="U21" s="2"/>
      <c r="V21" s="2"/>
      <c r="W21" s="192"/>
      <c r="X21" s="193"/>
      <c r="Y21" s="193"/>
      <c r="Z21" s="193"/>
      <c r="AA21" s="195"/>
      <c r="AB21" s="91"/>
    </row>
    <row r="22" spans="2:28" ht="15.75" customHeight="1" x14ac:dyDescent="0.3">
      <c r="B22" s="251" t="s">
        <v>146</v>
      </c>
      <c r="C22" s="216" t="s">
        <v>17</v>
      </c>
      <c r="D22" s="216" t="s">
        <v>25</v>
      </c>
      <c r="E22" s="216" t="s">
        <v>16</v>
      </c>
      <c r="F22" s="216" t="s">
        <v>39</v>
      </c>
      <c r="G22" s="216" t="s">
        <v>59</v>
      </c>
      <c r="H22" s="50"/>
      <c r="I22" s="50"/>
      <c r="J22" s="74"/>
      <c r="L22" s="18" t="s">
        <v>41</v>
      </c>
      <c r="M22" s="18" t="s">
        <v>42</v>
      </c>
      <c r="N22" s="6" t="s">
        <v>43</v>
      </c>
      <c r="O22" s="2"/>
      <c r="P22" s="2"/>
      <c r="Q22" s="2"/>
      <c r="R22" s="2"/>
      <c r="S22" s="2"/>
      <c r="T22" s="2"/>
      <c r="U22" s="2"/>
      <c r="V22" s="2"/>
      <c r="W22" s="78" t="s">
        <v>148</v>
      </c>
      <c r="X22" s="13">
        <v>0.5</v>
      </c>
      <c r="Y22" s="63" t="s">
        <v>70</v>
      </c>
      <c r="Z22" s="1" t="s">
        <v>1</v>
      </c>
      <c r="AA22" s="109">
        <f>IF(HerdSize=0,0,X22*WageRate/IF(Z22="all cows",HerdSize,1))</f>
        <v>6</v>
      </c>
      <c r="AB22" s="75"/>
    </row>
    <row r="23" spans="2:28" ht="15.75" customHeight="1" x14ac:dyDescent="0.3">
      <c r="B23" s="252"/>
      <c r="C23" s="194"/>
      <c r="D23" s="194"/>
      <c r="E23" s="194"/>
      <c r="F23" s="194"/>
      <c r="G23" s="194"/>
      <c r="H23" s="51"/>
      <c r="I23" s="51"/>
      <c r="J23" s="75"/>
      <c r="L23" s="22"/>
      <c r="M23" s="22"/>
      <c r="N23" s="6"/>
      <c r="O23" s="2"/>
      <c r="P23" s="2"/>
      <c r="Q23" s="2"/>
      <c r="R23" s="2"/>
      <c r="S23" s="2"/>
      <c r="T23" s="2"/>
      <c r="U23" s="2"/>
      <c r="V23" s="2"/>
      <c r="W23" s="79"/>
      <c r="X23" s="13"/>
      <c r="Y23" s="63" t="s">
        <v>72</v>
      </c>
      <c r="Z23" s="1" t="s">
        <v>1</v>
      </c>
      <c r="AA23" s="110">
        <f>IF(HerdSize=0,0,X23/IF(Z23="all cows",HerdSize,1))</f>
        <v>0</v>
      </c>
      <c r="AB23" s="75"/>
    </row>
    <row r="24" spans="2:28" ht="15.75" customHeight="1" x14ac:dyDescent="0.3">
      <c r="B24" s="253"/>
      <c r="C24" s="195"/>
      <c r="D24" s="195"/>
      <c r="E24" s="195"/>
      <c r="F24" s="195"/>
      <c r="G24" s="195"/>
      <c r="H24" s="51"/>
      <c r="I24" s="51"/>
      <c r="J24" s="75"/>
      <c r="L24" s="22"/>
      <c r="M24" s="22"/>
      <c r="N24" s="6"/>
      <c r="O24" s="2"/>
      <c r="P24" s="2"/>
      <c r="Q24" s="2"/>
      <c r="R24" s="2"/>
      <c r="S24" s="2"/>
      <c r="T24" s="2"/>
      <c r="U24" s="2"/>
      <c r="V24" s="2"/>
      <c r="W24" s="79"/>
      <c r="X24" s="13"/>
      <c r="Y24" s="63" t="s">
        <v>72</v>
      </c>
      <c r="Z24" s="1" t="s">
        <v>1</v>
      </c>
      <c r="AA24" s="110">
        <f>IF(HerdSize=0,0,X24/IF(Z24="all cows",HerdSize,1))</f>
        <v>0</v>
      </c>
      <c r="AB24" s="75"/>
    </row>
    <row r="25" spans="2:28" ht="15.75" customHeight="1" x14ac:dyDescent="0.3">
      <c r="B25" s="78" t="s">
        <v>12</v>
      </c>
      <c r="C25" s="15">
        <v>180</v>
      </c>
      <c r="D25" s="1" t="s">
        <v>13</v>
      </c>
      <c r="E25" s="15">
        <v>55</v>
      </c>
      <c r="F25" s="1" t="s">
        <v>19</v>
      </c>
      <c r="G25" s="108">
        <f>L25*M25</f>
        <v>325.47945205479448</v>
      </c>
      <c r="H25" s="51"/>
      <c r="I25" s="51"/>
      <c r="J25" s="75"/>
      <c r="L25" s="18">
        <f>ROUND(C25*IF(D25="days",1,IF(D25="months",365/12,IF(D25="year",365,0))),0)</f>
        <v>180</v>
      </c>
      <c r="M25" s="7">
        <f>IFERROR(E25/IF(F25="per day",1,IF(F25="per month",365/12,IF(F25="per year",365,0))),0)</f>
        <v>1.8082191780821917</v>
      </c>
      <c r="N25" s="8">
        <f>L25*M25*NatBulls</f>
        <v>1301.9178082191779</v>
      </c>
      <c r="O25" s="2"/>
      <c r="P25" s="2"/>
      <c r="Q25" s="2"/>
      <c r="R25" s="2" t="s">
        <v>13</v>
      </c>
      <c r="S25" s="2" t="s">
        <v>14</v>
      </c>
      <c r="T25" s="2" t="s">
        <v>105</v>
      </c>
      <c r="U25" s="2"/>
      <c r="V25" s="2"/>
      <c r="W25" s="79"/>
      <c r="X25" s="13"/>
      <c r="Y25" s="63" t="s">
        <v>72</v>
      </c>
      <c r="Z25" s="1" t="s">
        <v>1</v>
      </c>
      <c r="AA25" s="110">
        <f>IF(HerdSize=0,0,X25/IF(Z25="all cows",HerdSize,1))</f>
        <v>0</v>
      </c>
      <c r="AB25" s="75"/>
    </row>
    <row r="26" spans="2:28" ht="15.75" customHeight="1" x14ac:dyDescent="0.3">
      <c r="B26" s="78" t="s">
        <v>15</v>
      </c>
      <c r="C26" s="15"/>
      <c r="D26" s="1"/>
      <c r="E26" s="15"/>
      <c r="F26" s="1" t="s">
        <v>58</v>
      </c>
      <c r="G26" s="108">
        <f t="shared" ref="G26:G29" si="0">L26*M26</f>
        <v>0</v>
      </c>
      <c r="H26" s="51"/>
      <c r="I26" s="51"/>
      <c r="J26" s="75"/>
      <c r="L26" s="26">
        <f>ROUND(C26*IF(D26="days",1,IF(D26="months",365/12,IF(D26="year",365,0))),0)</f>
        <v>0</v>
      </c>
      <c r="M26" s="7">
        <f>IFERROR(E26/IF(F26="per day",1,IF(F26="per month",365/12,IF(F26="per year",365,0))),0)</f>
        <v>0</v>
      </c>
      <c r="N26" s="8">
        <f>L26*M26*NatBulls</f>
        <v>0</v>
      </c>
      <c r="O26" s="2"/>
      <c r="P26" s="2"/>
      <c r="Q26" s="2"/>
      <c r="R26" s="2" t="s">
        <v>18</v>
      </c>
      <c r="S26" s="2" t="s">
        <v>19</v>
      </c>
      <c r="T26" s="2" t="s">
        <v>58</v>
      </c>
      <c r="U26" s="2"/>
      <c r="V26" s="2"/>
      <c r="W26" s="79"/>
      <c r="X26" s="13"/>
      <c r="Y26" s="63" t="s">
        <v>72</v>
      </c>
      <c r="Z26" s="1" t="s">
        <v>1</v>
      </c>
      <c r="AA26" s="110">
        <f>IF(HerdSize=0,0,X26/IF(Z26="all cows",HerdSize,1))</f>
        <v>0</v>
      </c>
      <c r="AB26" s="75"/>
    </row>
    <row r="27" spans="2:28" ht="15.75" customHeight="1" x14ac:dyDescent="0.3">
      <c r="B27" s="79" t="s">
        <v>45</v>
      </c>
      <c r="C27" s="15">
        <v>2</v>
      </c>
      <c r="D27" s="1" t="s">
        <v>14</v>
      </c>
      <c r="E27" s="17">
        <v>10</v>
      </c>
      <c r="F27" s="1" t="s">
        <v>19</v>
      </c>
      <c r="G27" s="108">
        <f t="shared" si="0"/>
        <v>20.054794520547944</v>
      </c>
      <c r="H27" s="51"/>
      <c r="I27" s="51"/>
      <c r="J27" s="75"/>
      <c r="L27" s="26">
        <f>ROUND(C27*IF(D27="days",1,IF(D27="months",365/12,IF(D27="year",365,0))),0)</f>
        <v>61</v>
      </c>
      <c r="M27" s="7">
        <f>IFERROR(E27/IF(F27="per day",1,IF(F27="per month",365/12,IF(F27="per year",365,0))),0)</f>
        <v>0.32876712328767121</v>
      </c>
      <c r="N27" s="8">
        <f>L27*M27*NatBulls</f>
        <v>80.219178082191775</v>
      </c>
      <c r="O27" s="2"/>
      <c r="P27" s="2"/>
      <c r="Q27" s="2"/>
      <c r="R27" s="2"/>
      <c r="S27" s="2"/>
      <c r="T27" s="2"/>
      <c r="U27" s="2"/>
      <c r="V27" s="2"/>
      <c r="W27" s="76"/>
      <c r="X27" s="52"/>
      <c r="Y27" s="52"/>
      <c r="Z27" s="52"/>
      <c r="AA27" s="52"/>
      <c r="AB27" s="77"/>
    </row>
    <row r="28" spans="2:28" ht="15.75" customHeight="1" x14ac:dyDescent="0.3">
      <c r="B28" s="79"/>
      <c r="C28" s="15"/>
      <c r="D28" s="1"/>
      <c r="E28" s="15"/>
      <c r="F28" s="1" t="s">
        <v>18</v>
      </c>
      <c r="G28" s="108">
        <f t="shared" si="0"/>
        <v>0</v>
      </c>
      <c r="H28" s="51"/>
      <c r="I28" s="51"/>
      <c r="J28" s="75"/>
      <c r="L28" s="26">
        <f>ROUND(C28*IF(D28="days",1,IF(D28="months",365/12,IF(D28="year",365,0))),0)</f>
        <v>0</v>
      </c>
      <c r="M28" s="7">
        <f>IFERROR(E28/IF(F28="per day",1,IF(F28="per month",365/12,IF(F28="per year",365,0))),0)</f>
        <v>0</v>
      </c>
      <c r="N28" s="8">
        <f>L28*M28*NatBulls</f>
        <v>0</v>
      </c>
      <c r="O28" s="2"/>
      <c r="P28" s="2"/>
      <c r="Q28" s="2"/>
      <c r="R28" s="2"/>
      <c r="S28" s="2"/>
      <c r="T28" s="2"/>
      <c r="U28" s="2"/>
      <c r="V28" s="2"/>
      <c r="W28" s="190" t="s">
        <v>74</v>
      </c>
      <c r="X28" s="191"/>
      <c r="Y28" s="50"/>
      <c r="Z28" s="50"/>
      <c r="AA28" s="50"/>
      <c r="AB28" s="74"/>
    </row>
    <row r="29" spans="2:28" ht="15.75" customHeight="1" thickBot="1" x14ac:dyDescent="0.35">
      <c r="B29" s="79"/>
      <c r="C29" s="15"/>
      <c r="D29" s="1"/>
      <c r="E29" s="15"/>
      <c r="F29" s="1" t="s">
        <v>18</v>
      </c>
      <c r="G29" s="108">
        <f t="shared" si="0"/>
        <v>0</v>
      </c>
      <c r="H29" s="51"/>
      <c r="I29" s="51"/>
      <c r="J29" s="75"/>
      <c r="L29" s="26">
        <f>ROUND(C29*IF(D29="days",1,IF(D29="months",365/12,IF(D29="year",365,0))),0)</f>
        <v>0</v>
      </c>
      <c r="M29" s="7">
        <f>IFERROR(E29/IF(F29="per day",1,IF(F29="per month",365/12,IF(F29="per year",365,0))),0)</f>
        <v>0</v>
      </c>
      <c r="N29" s="9">
        <f>L29*M29*NatBulls</f>
        <v>0</v>
      </c>
      <c r="O29" s="2"/>
      <c r="P29" s="2"/>
      <c r="Q29" s="2"/>
      <c r="R29" s="2"/>
      <c r="S29" s="2"/>
      <c r="T29" s="2"/>
      <c r="U29" s="2"/>
      <c r="V29" s="2"/>
      <c r="W29" s="192"/>
      <c r="X29" s="193"/>
      <c r="Y29" s="62"/>
      <c r="Z29" s="62"/>
      <c r="AA29" s="194" t="s">
        <v>82</v>
      </c>
      <c r="AB29" s="75"/>
    </row>
    <row r="30" spans="2:28" ht="15.75" customHeight="1" thickTop="1" x14ac:dyDescent="0.3">
      <c r="B30" s="76"/>
      <c r="C30" s="52"/>
      <c r="D30" s="52"/>
      <c r="E30" s="52"/>
      <c r="F30" s="55"/>
      <c r="G30" s="52"/>
      <c r="H30" s="52"/>
      <c r="I30" s="52"/>
      <c r="J30" s="77"/>
      <c r="L30" s="2"/>
      <c r="M30" s="10" t="s">
        <v>44</v>
      </c>
      <c r="N30" s="8">
        <f>SUM(N25:N29)</f>
        <v>1382.1369863013697</v>
      </c>
      <c r="O30" s="2"/>
      <c r="P30" s="2"/>
      <c r="Q30" s="2"/>
      <c r="R30" s="2" t="s">
        <v>31</v>
      </c>
      <c r="S30" s="2" t="s">
        <v>29</v>
      </c>
      <c r="T30" s="2" t="s">
        <v>32</v>
      </c>
      <c r="U30" s="2" t="s">
        <v>30</v>
      </c>
      <c r="V30" s="2" t="s">
        <v>20</v>
      </c>
      <c r="W30" s="192"/>
      <c r="X30" s="193"/>
      <c r="Y30" s="62"/>
      <c r="Z30" s="62"/>
      <c r="AA30" s="195"/>
      <c r="AB30" s="75"/>
    </row>
    <row r="31" spans="2:28" ht="15.75" customHeight="1" x14ac:dyDescent="0.3">
      <c r="B31" s="190" t="s">
        <v>147</v>
      </c>
      <c r="C31" s="216" t="s">
        <v>21</v>
      </c>
      <c r="D31" s="216" t="s">
        <v>26</v>
      </c>
      <c r="E31" s="216" t="s">
        <v>27</v>
      </c>
      <c r="F31" s="216" t="s">
        <v>17</v>
      </c>
      <c r="G31" s="216" t="s">
        <v>25</v>
      </c>
      <c r="H31" s="218" t="s">
        <v>16</v>
      </c>
      <c r="I31" s="221" t="s">
        <v>33</v>
      </c>
      <c r="J31" s="224" t="s">
        <v>59</v>
      </c>
      <c r="L31" s="217" t="s">
        <v>106</v>
      </c>
      <c r="M31" s="12"/>
      <c r="N31" s="12"/>
      <c r="O31" s="12"/>
      <c r="P31" s="12"/>
      <c r="Q31" s="2"/>
      <c r="R31" s="2" t="s">
        <v>10</v>
      </c>
      <c r="S31" s="2" t="s">
        <v>22</v>
      </c>
      <c r="T31" s="2" t="s">
        <v>23</v>
      </c>
      <c r="U31" s="2" t="s">
        <v>24</v>
      </c>
      <c r="V31" s="2" t="s">
        <v>20</v>
      </c>
      <c r="W31" s="78" t="s">
        <v>148</v>
      </c>
      <c r="X31" s="13">
        <v>8</v>
      </c>
      <c r="Y31" s="63" t="s">
        <v>70</v>
      </c>
      <c r="Z31" s="1" t="s">
        <v>71</v>
      </c>
      <c r="AA31" s="109">
        <f>IF(HerdSize=0,0,X31*WageRate/IF(Z31="all cows",HerdSize,1))</f>
        <v>0.96</v>
      </c>
      <c r="AB31" s="75"/>
    </row>
    <row r="32" spans="2:28" ht="15.75" customHeight="1" x14ac:dyDescent="0.3">
      <c r="B32" s="192"/>
      <c r="C32" s="194"/>
      <c r="D32" s="194"/>
      <c r="E32" s="194"/>
      <c r="F32" s="194"/>
      <c r="G32" s="194"/>
      <c r="H32" s="219"/>
      <c r="I32" s="222"/>
      <c r="J32" s="196"/>
      <c r="L32" s="217"/>
      <c r="M32" s="12"/>
      <c r="N32" s="217" t="s">
        <v>47</v>
      </c>
      <c r="O32" s="217" t="s">
        <v>48</v>
      </c>
      <c r="P32" s="12"/>
      <c r="Q32" s="2"/>
      <c r="R32" s="2"/>
      <c r="S32" s="2"/>
      <c r="T32" s="2"/>
      <c r="U32" s="2"/>
      <c r="V32" s="2"/>
      <c r="W32" s="79" t="s">
        <v>99</v>
      </c>
      <c r="X32" s="13">
        <v>2</v>
      </c>
      <c r="Y32" s="63" t="s">
        <v>72</v>
      </c>
      <c r="Z32" s="1" t="s">
        <v>1</v>
      </c>
      <c r="AA32" s="110">
        <f>IF(HerdSize=0,0,X32/IF(Z32="all cows",HerdSize,1))</f>
        <v>2</v>
      </c>
      <c r="AB32" s="75"/>
    </row>
    <row r="33" spans="2:35" ht="15.75" customHeight="1" x14ac:dyDescent="0.3">
      <c r="B33" s="213"/>
      <c r="C33" s="195"/>
      <c r="D33" s="195"/>
      <c r="E33" s="195"/>
      <c r="F33" s="195"/>
      <c r="G33" s="195"/>
      <c r="H33" s="220"/>
      <c r="I33" s="223"/>
      <c r="J33" s="197"/>
      <c r="L33" s="217"/>
      <c r="M33" s="12" t="s">
        <v>41</v>
      </c>
      <c r="N33" s="217"/>
      <c r="O33" s="217"/>
      <c r="P33" s="12"/>
      <c r="Q33" s="2"/>
      <c r="R33" s="2"/>
      <c r="S33" s="2"/>
      <c r="T33" s="2"/>
      <c r="U33" s="2"/>
      <c r="V33" s="2"/>
      <c r="W33" s="79" t="s">
        <v>100</v>
      </c>
      <c r="X33" s="13">
        <v>15</v>
      </c>
      <c r="Y33" s="63" t="s">
        <v>72</v>
      </c>
      <c r="Z33" s="1" t="s">
        <v>1</v>
      </c>
      <c r="AA33" s="110">
        <f>IF(HerdSize=0,0,X33/IF(Z33="all cows",HerdSize,1))</f>
        <v>15</v>
      </c>
      <c r="AB33" s="75"/>
    </row>
    <row r="34" spans="2:35" ht="15.75" customHeight="1" x14ac:dyDescent="0.3">
      <c r="B34" s="79" t="s">
        <v>46</v>
      </c>
      <c r="C34" s="15">
        <v>100</v>
      </c>
      <c r="D34" s="1" t="s">
        <v>10</v>
      </c>
      <c r="E34" s="1" t="s">
        <v>20</v>
      </c>
      <c r="F34" s="20">
        <v>120</v>
      </c>
      <c r="G34" s="21" t="s">
        <v>13</v>
      </c>
      <c r="H34" s="15">
        <v>80</v>
      </c>
      <c r="I34" s="16" t="s">
        <v>32</v>
      </c>
      <c r="J34" s="111">
        <f>N34*M34*L34</f>
        <v>120</v>
      </c>
      <c r="L34" s="19">
        <f t="shared" ref="L34:L43" si="1">C34*IF(D34="bushel",U34,IF(D34="tons",2000,IF(D34="cwt",100,IF(D34="pounds",1,0))))*IF(E34="per head",1,IF(E34="total",1/NatBulls,0))*IF(G34="days",1,IF(G34="months",12/365,IF(G34="year",1/365,0)))</f>
        <v>25</v>
      </c>
      <c r="M34" s="2">
        <f t="shared" ref="M34:M43" si="2">F34*IF(G34="days",1,IF(G34="months",365/12,IF(G34="year",365,0)))</f>
        <v>120</v>
      </c>
      <c r="N34" s="7">
        <f t="shared" ref="N34:N43" si="3">H34/IF(I34="per pound",1,IF(I34="per ton",2000,IF(I34="per cwt",100,IF(I34="per bushel",U34,IF(I34="total",O34,"Calc Error")))))</f>
        <v>0.04</v>
      </c>
      <c r="O34" s="8">
        <f t="shared" ref="O34:O43" si="4">J34*NatBulls</f>
        <v>480</v>
      </c>
      <c r="P34" s="12"/>
      <c r="Q34" s="2"/>
      <c r="R34" s="2" t="s">
        <v>28</v>
      </c>
      <c r="S34" s="2" t="s">
        <v>20</v>
      </c>
      <c r="T34" s="2"/>
      <c r="U34" s="2">
        <v>56</v>
      </c>
      <c r="V34" s="2"/>
      <c r="W34" s="79" t="s">
        <v>103</v>
      </c>
      <c r="X34" s="13">
        <v>20</v>
      </c>
      <c r="Y34" s="63" t="s">
        <v>72</v>
      </c>
      <c r="Z34" s="1" t="s">
        <v>1</v>
      </c>
      <c r="AA34" s="110">
        <f>IF(HerdSize=0,0,X34/IF(Z34="all cows",HerdSize,1))</f>
        <v>20</v>
      </c>
      <c r="AB34" s="75"/>
    </row>
    <row r="35" spans="2:35" ht="15.75" customHeight="1" x14ac:dyDescent="0.3">
      <c r="B35" s="79" t="s">
        <v>50</v>
      </c>
      <c r="C35" s="15">
        <v>60</v>
      </c>
      <c r="D35" s="1" t="s">
        <v>10</v>
      </c>
      <c r="E35" s="1" t="s">
        <v>28</v>
      </c>
      <c r="F35" s="20">
        <v>3</v>
      </c>
      <c r="G35" s="21" t="s">
        <v>14</v>
      </c>
      <c r="H35" s="15">
        <v>240</v>
      </c>
      <c r="I35" s="16" t="s">
        <v>32</v>
      </c>
      <c r="J35" s="111">
        <f t="shared" ref="J35:J43" si="5">N35*M35*L35</f>
        <v>21.599999999999998</v>
      </c>
      <c r="L35" s="19">
        <f t="shared" si="1"/>
        <v>1.9726027397260273</v>
      </c>
      <c r="M35" s="2">
        <f t="shared" si="2"/>
        <v>91.25</v>
      </c>
      <c r="N35" s="7">
        <f t="shared" si="3"/>
        <v>0.12</v>
      </c>
      <c r="O35" s="8">
        <f t="shared" si="4"/>
        <v>86.399999999999991</v>
      </c>
      <c r="P35" s="12"/>
      <c r="Q35" s="2"/>
      <c r="R35" s="2"/>
      <c r="S35" s="2"/>
      <c r="T35" s="2"/>
      <c r="U35" s="2">
        <v>56</v>
      </c>
      <c r="V35" s="2"/>
      <c r="W35" s="76"/>
      <c r="X35" s="52"/>
      <c r="Y35" s="64"/>
      <c r="Z35" s="65" t="s">
        <v>81</v>
      </c>
      <c r="AA35" s="13">
        <v>60</v>
      </c>
      <c r="AB35" s="75" t="s">
        <v>2</v>
      </c>
    </row>
    <row r="36" spans="2:35" ht="15.75" customHeight="1" x14ac:dyDescent="0.3">
      <c r="B36" s="79" t="s">
        <v>51</v>
      </c>
      <c r="C36" s="15">
        <v>60</v>
      </c>
      <c r="D36" s="1" t="s">
        <v>10</v>
      </c>
      <c r="E36" s="1" t="s">
        <v>20</v>
      </c>
      <c r="F36" s="20">
        <v>1</v>
      </c>
      <c r="G36" s="21" t="s">
        <v>105</v>
      </c>
      <c r="H36" s="15">
        <v>120</v>
      </c>
      <c r="I36" s="16" t="s">
        <v>32</v>
      </c>
      <c r="J36" s="111">
        <f t="shared" si="5"/>
        <v>0.89999999999999991</v>
      </c>
      <c r="L36" s="19">
        <f t="shared" si="1"/>
        <v>4.1095890410958902E-2</v>
      </c>
      <c r="M36" s="2">
        <f t="shared" si="2"/>
        <v>365</v>
      </c>
      <c r="N36" s="7">
        <f t="shared" si="3"/>
        <v>0.06</v>
      </c>
      <c r="O36" s="8">
        <f t="shared" si="4"/>
        <v>3.5999999999999996</v>
      </c>
      <c r="P36" s="12"/>
      <c r="Q36" s="2"/>
      <c r="R36" s="2"/>
      <c r="S36" s="2"/>
      <c r="T36" s="2"/>
      <c r="U36" s="2">
        <v>56</v>
      </c>
      <c r="V36" s="2"/>
      <c r="W36" s="190" t="s">
        <v>75</v>
      </c>
      <c r="X36" s="59"/>
      <c r="Y36" s="59"/>
      <c r="Z36" s="59"/>
      <c r="AA36" s="59"/>
      <c r="AB36" s="87"/>
    </row>
    <row r="37" spans="2:35" ht="15.75" customHeight="1" x14ac:dyDescent="0.3">
      <c r="B37" s="79" t="s">
        <v>107</v>
      </c>
      <c r="C37" s="15">
        <v>60</v>
      </c>
      <c r="D37" s="1" t="s">
        <v>24</v>
      </c>
      <c r="E37" s="1" t="s">
        <v>20</v>
      </c>
      <c r="F37" s="20">
        <v>1</v>
      </c>
      <c r="G37" s="21" t="s">
        <v>105</v>
      </c>
      <c r="H37" s="15">
        <v>5</v>
      </c>
      <c r="I37" s="16" t="s">
        <v>30</v>
      </c>
      <c r="J37" s="111">
        <f t="shared" si="5"/>
        <v>75</v>
      </c>
      <c r="L37" s="19">
        <f t="shared" si="1"/>
        <v>2.3013698630136985</v>
      </c>
      <c r="M37" s="2">
        <f t="shared" si="2"/>
        <v>365</v>
      </c>
      <c r="N37" s="7">
        <f t="shared" si="3"/>
        <v>8.9285714285714288E-2</v>
      </c>
      <c r="O37" s="8">
        <f t="shared" si="4"/>
        <v>300</v>
      </c>
      <c r="P37" s="12"/>
      <c r="Q37" s="2"/>
      <c r="R37" s="2"/>
      <c r="S37" s="2"/>
      <c r="T37" s="2"/>
      <c r="U37" s="2">
        <v>56</v>
      </c>
      <c r="V37" s="2"/>
      <c r="W37" s="192"/>
      <c r="X37" s="62"/>
      <c r="Y37" s="62"/>
      <c r="Z37" s="62"/>
      <c r="AA37" s="194" t="s">
        <v>82</v>
      </c>
      <c r="AB37" s="91"/>
    </row>
    <row r="38" spans="2:35" ht="15.75" customHeight="1" x14ac:dyDescent="0.3">
      <c r="B38" s="79"/>
      <c r="C38" s="15"/>
      <c r="D38" s="1"/>
      <c r="E38" s="1"/>
      <c r="F38" s="20"/>
      <c r="G38" s="21"/>
      <c r="H38" s="15"/>
      <c r="I38" s="16" t="s">
        <v>31</v>
      </c>
      <c r="J38" s="111">
        <f t="shared" si="5"/>
        <v>0</v>
      </c>
      <c r="L38" s="19">
        <f t="shared" si="1"/>
        <v>0</v>
      </c>
      <c r="M38" s="2">
        <f t="shared" si="2"/>
        <v>0</v>
      </c>
      <c r="N38" s="7">
        <f t="shared" si="3"/>
        <v>0</v>
      </c>
      <c r="O38" s="8">
        <f t="shared" si="4"/>
        <v>0</v>
      </c>
      <c r="P38" s="12"/>
      <c r="Q38" s="2"/>
      <c r="R38" s="2"/>
      <c r="S38" s="2"/>
      <c r="T38" s="2"/>
      <c r="U38" s="2">
        <v>56</v>
      </c>
      <c r="V38" s="2"/>
      <c r="W38" s="192"/>
      <c r="X38" s="62"/>
      <c r="Y38" s="62"/>
      <c r="Z38" s="62"/>
      <c r="AA38" s="195"/>
      <c r="AB38" s="75"/>
    </row>
    <row r="39" spans="2:35" ht="15.75" customHeight="1" x14ac:dyDescent="0.3">
      <c r="B39" s="79"/>
      <c r="C39" s="15"/>
      <c r="D39" s="1"/>
      <c r="E39" s="1"/>
      <c r="F39" s="20"/>
      <c r="G39" s="21"/>
      <c r="H39" s="15"/>
      <c r="I39" s="16" t="s">
        <v>31</v>
      </c>
      <c r="J39" s="111">
        <f t="shared" si="5"/>
        <v>0</v>
      </c>
      <c r="L39" s="19">
        <f t="shared" si="1"/>
        <v>0</v>
      </c>
      <c r="M39" s="2">
        <f t="shared" si="2"/>
        <v>0</v>
      </c>
      <c r="N39" s="7">
        <f t="shared" si="3"/>
        <v>0</v>
      </c>
      <c r="O39" s="8">
        <f t="shared" si="4"/>
        <v>0</v>
      </c>
      <c r="P39" s="12"/>
      <c r="Q39" s="2"/>
      <c r="R39" s="2"/>
      <c r="S39" s="2"/>
      <c r="T39" s="2"/>
      <c r="U39" s="2">
        <v>56</v>
      </c>
      <c r="V39" s="2"/>
      <c r="W39" s="78" t="s">
        <v>148</v>
      </c>
      <c r="X39" s="13">
        <v>5</v>
      </c>
      <c r="Y39" s="63" t="s">
        <v>70</v>
      </c>
      <c r="Z39" s="16" t="s">
        <v>71</v>
      </c>
      <c r="AA39" s="109">
        <f>IF(HerdSize=0,0,X39*WageRate*IF(Z39="all cows",1,IF(Z39="non-bred cow",(1-FirstAIPregRate/100)*HerdSize,HerdSize))/HerdSize)</f>
        <v>0.6</v>
      </c>
      <c r="AB39" s="75"/>
    </row>
    <row r="40" spans="2:35" ht="15.75" customHeight="1" x14ac:dyDescent="0.3">
      <c r="B40" s="79"/>
      <c r="C40" s="15"/>
      <c r="D40" s="1"/>
      <c r="E40" s="1"/>
      <c r="F40" s="20"/>
      <c r="G40" s="21"/>
      <c r="H40" s="15"/>
      <c r="I40" s="16" t="s">
        <v>31</v>
      </c>
      <c r="J40" s="111">
        <f t="shared" si="5"/>
        <v>0</v>
      </c>
      <c r="L40" s="19">
        <f t="shared" si="1"/>
        <v>0</v>
      </c>
      <c r="M40" s="2">
        <f t="shared" si="2"/>
        <v>0</v>
      </c>
      <c r="N40" s="7">
        <f t="shared" si="3"/>
        <v>0</v>
      </c>
      <c r="O40" s="8">
        <f t="shared" si="4"/>
        <v>0</v>
      </c>
      <c r="P40" s="12"/>
      <c r="Q40" s="2"/>
      <c r="R40" s="2"/>
      <c r="S40" s="2"/>
      <c r="T40" s="2"/>
      <c r="U40" s="2">
        <v>56</v>
      </c>
      <c r="V40" s="2"/>
      <c r="W40" s="79" t="s">
        <v>99</v>
      </c>
      <c r="X40" s="13">
        <v>2</v>
      </c>
      <c r="Y40" s="63" t="s">
        <v>72</v>
      </c>
      <c r="Z40" s="16" t="s">
        <v>135</v>
      </c>
      <c r="AA40" s="110">
        <f>IF(HerdSize=0,0,X40*IF(Z40="all cows",1,IF(Z40="non-bred cow",HerdSize*(1-FirstAIPregRate/100),HerdSize))/HerdSize)</f>
        <v>0.8</v>
      </c>
      <c r="AB40" s="75"/>
    </row>
    <row r="41" spans="2:35" ht="15.75" customHeight="1" x14ac:dyDescent="0.3">
      <c r="B41" s="79"/>
      <c r="C41" s="15"/>
      <c r="D41" s="1"/>
      <c r="E41" s="1"/>
      <c r="F41" s="20"/>
      <c r="G41" s="21"/>
      <c r="H41" s="15"/>
      <c r="I41" s="16" t="s">
        <v>31</v>
      </c>
      <c r="J41" s="111">
        <f t="shared" si="5"/>
        <v>0</v>
      </c>
      <c r="L41" s="19">
        <f t="shared" si="1"/>
        <v>0</v>
      </c>
      <c r="M41" s="2">
        <f t="shared" si="2"/>
        <v>0</v>
      </c>
      <c r="N41" s="7">
        <f t="shared" si="3"/>
        <v>0</v>
      </c>
      <c r="O41" s="8">
        <f t="shared" si="4"/>
        <v>0</v>
      </c>
      <c r="P41" s="12"/>
      <c r="Q41" s="2"/>
      <c r="R41" s="2"/>
      <c r="S41" s="2"/>
      <c r="T41" s="2"/>
      <c r="U41" s="2">
        <v>56</v>
      </c>
      <c r="V41" s="2"/>
      <c r="W41" s="79" t="s">
        <v>100</v>
      </c>
      <c r="X41" s="13">
        <v>15</v>
      </c>
      <c r="Y41" s="63" t="s">
        <v>72</v>
      </c>
      <c r="Z41" s="16" t="s">
        <v>135</v>
      </c>
      <c r="AA41" s="110">
        <f>IF(HerdSize=0,0,X41*IF(Z41="all cows",1,IF(Z41="non-bred cow",HerdSize*(1-FirstAIPregRate/100),HerdSize))/HerdSize)</f>
        <v>6</v>
      </c>
      <c r="AB41" s="75"/>
      <c r="AD41" s="27">
        <f>IF(SecondAIPregRate=0,IF(FirstAIPregRate=0,0,FirstAIPregRate),SecondAIPregRate)</f>
        <v>80</v>
      </c>
    </row>
    <row r="42" spans="2:35" ht="15.75" customHeight="1" x14ac:dyDescent="0.3">
      <c r="B42" s="79"/>
      <c r="C42" s="15"/>
      <c r="D42" s="1"/>
      <c r="E42" s="1"/>
      <c r="F42" s="20"/>
      <c r="G42" s="21"/>
      <c r="H42" s="15"/>
      <c r="I42" s="16" t="s">
        <v>31</v>
      </c>
      <c r="J42" s="111">
        <f t="shared" si="5"/>
        <v>0</v>
      </c>
      <c r="L42" s="19">
        <f t="shared" si="1"/>
        <v>0</v>
      </c>
      <c r="M42" s="2">
        <f t="shared" si="2"/>
        <v>0</v>
      </c>
      <c r="N42" s="7">
        <f t="shared" si="3"/>
        <v>0</v>
      </c>
      <c r="O42" s="8">
        <f t="shared" si="4"/>
        <v>0</v>
      </c>
      <c r="P42" s="12"/>
      <c r="Q42" s="2"/>
      <c r="R42" s="2"/>
      <c r="S42" s="2"/>
      <c r="T42" s="2"/>
      <c r="U42" s="2">
        <v>56</v>
      </c>
      <c r="V42" s="2"/>
      <c r="W42" s="79" t="s">
        <v>103</v>
      </c>
      <c r="X42" s="13">
        <v>20</v>
      </c>
      <c r="Y42" s="63" t="s">
        <v>72</v>
      </c>
      <c r="Z42" s="16" t="s">
        <v>135</v>
      </c>
      <c r="AA42" s="110">
        <f>IF(HerdSize=0,0,X42*IF(Z42="all cows",1,IF(Z42="non-bred cow",HerdSize*(1-FirstAIPregRate/100),HerdSize))/HerdSize)</f>
        <v>8</v>
      </c>
      <c r="AB42" s="75"/>
      <c r="AC42" s="172" t="str">
        <f>IF(SecondAIPregRate=0,"",IF(FirstAIPregRate&gt;SecondAIPregRate,"COWS BRED AFTER 2ND SERVICE INCLUDES THOSE BRED IN 1ST SERVICE SO THIS VALUE MUST BE HIGHER THAN 1ST SERVICE",""))</f>
        <v/>
      </c>
      <c r="AD42" s="36"/>
      <c r="AE42" s="36"/>
      <c r="AF42" s="36"/>
    </row>
    <row r="43" spans="2:35" ht="15.75" customHeight="1" x14ac:dyDescent="0.3">
      <c r="B43" s="79"/>
      <c r="C43" s="15"/>
      <c r="D43" s="1"/>
      <c r="E43" s="1"/>
      <c r="F43" s="20"/>
      <c r="G43" s="21"/>
      <c r="H43" s="15"/>
      <c r="I43" s="16" t="s">
        <v>32</v>
      </c>
      <c r="J43" s="111">
        <f t="shared" si="5"/>
        <v>0</v>
      </c>
      <c r="L43" s="19">
        <f t="shared" si="1"/>
        <v>0</v>
      </c>
      <c r="M43" s="2">
        <f t="shared" si="2"/>
        <v>0</v>
      </c>
      <c r="N43" s="7">
        <f t="shared" si="3"/>
        <v>0</v>
      </c>
      <c r="O43" s="8">
        <f t="shared" si="4"/>
        <v>0</v>
      </c>
      <c r="P43" s="12"/>
      <c r="Q43" s="2"/>
      <c r="R43" s="2"/>
      <c r="S43" s="2"/>
      <c r="T43" s="2"/>
      <c r="U43" s="2">
        <v>56</v>
      </c>
      <c r="V43" s="2"/>
      <c r="W43" s="76"/>
      <c r="X43" s="52"/>
      <c r="Y43" s="64"/>
      <c r="Z43" s="66" t="s">
        <v>136</v>
      </c>
      <c r="AA43" s="13">
        <v>80</v>
      </c>
      <c r="AB43" s="77" t="s">
        <v>2</v>
      </c>
      <c r="AC43" s="172"/>
      <c r="AD43" s="36"/>
      <c r="AE43" s="36"/>
      <c r="AF43" s="36"/>
    </row>
    <row r="44" spans="2:35" ht="15.75" customHeight="1" x14ac:dyDescent="0.3">
      <c r="B44" s="76"/>
      <c r="C44" s="52"/>
      <c r="D44" s="52"/>
      <c r="E44" s="52"/>
      <c r="F44" s="52"/>
      <c r="G44" s="52"/>
      <c r="H44" s="56"/>
      <c r="I44" s="56"/>
      <c r="J44" s="80"/>
      <c r="L44" s="2"/>
      <c r="M44" s="12"/>
      <c r="N44" s="2"/>
      <c r="O44" s="2"/>
      <c r="P44" s="11"/>
      <c r="Q44" s="2"/>
      <c r="R44" s="2"/>
      <c r="S44" s="2"/>
      <c r="T44" s="2"/>
      <c r="U44" s="2"/>
      <c r="V44" s="2"/>
      <c r="W44" s="190" t="s">
        <v>80</v>
      </c>
      <c r="X44" s="191"/>
      <c r="Y44" s="191"/>
      <c r="Z44" s="51"/>
      <c r="AA44" s="51"/>
      <c r="AB44" s="75"/>
      <c r="AC44" s="172"/>
      <c r="AD44" s="36"/>
      <c r="AE44" s="36"/>
      <c r="AF44" s="36"/>
    </row>
    <row r="45" spans="2:35" ht="15.75" customHeight="1" x14ac:dyDescent="0.3">
      <c r="B45" s="190" t="s">
        <v>54</v>
      </c>
      <c r="C45" s="216" t="s">
        <v>21</v>
      </c>
      <c r="D45" s="216" t="s">
        <v>27</v>
      </c>
      <c r="E45" s="216" t="s">
        <v>153</v>
      </c>
      <c r="F45" s="216" t="s">
        <v>59</v>
      </c>
      <c r="G45" s="50"/>
      <c r="H45" s="57"/>
      <c r="I45" s="57"/>
      <c r="J45" s="81"/>
      <c r="L45" s="2"/>
      <c r="M45" s="2"/>
      <c r="N45" s="2"/>
      <c r="O45" s="11"/>
      <c r="P45" s="2"/>
      <c r="Q45" s="2"/>
      <c r="R45" s="2"/>
      <c r="S45" s="2"/>
      <c r="T45" s="2"/>
      <c r="U45" s="2"/>
      <c r="V45" s="2"/>
      <c r="W45" s="192"/>
      <c r="X45" s="193"/>
      <c r="Y45" s="193"/>
      <c r="Z45" s="67"/>
      <c r="AA45" s="194" t="s">
        <v>79</v>
      </c>
      <c r="AB45" s="75"/>
      <c r="AC45" s="173"/>
      <c r="AD45" s="29"/>
      <c r="AE45" s="29"/>
      <c r="AF45" s="29"/>
    </row>
    <row r="46" spans="2:35" ht="15.75" customHeight="1" x14ac:dyDescent="0.3">
      <c r="B46" s="192"/>
      <c r="C46" s="194"/>
      <c r="D46" s="194"/>
      <c r="E46" s="194"/>
      <c r="F46" s="194"/>
      <c r="G46" s="51"/>
      <c r="H46" s="58"/>
      <c r="I46" s="58"/>
      <c r="J46" s="82"/>
      <c r="L46" s="2"/>
      <c r="M46" s="2"/>
      <c r="N46" s="2"/>
      <c r="O46" s="11"/>
      <c r="P46" s="2"/>
      <c r="Q46" s="2"/>
      <c r="R46" s="2"/>
      <c r="S46" s="2"/>
      <c r="T46" s="2"/>
      <c r="U46" s="2"/>
      <c r="V46" s="2"/>
      <c r="W46" s="192"/>
      <c r="X46" s="193"/>
      <c r="Y46" s="193"/>
      <c r="Z46" s="67"/>
      <c r="AA46" s="194"/>
      <c r="AB46" s="196" t="s">
        <v>82</v>
      </c>
      <c r="AG46" s="172"/>
      <c r="AH46" s="172"/>
      <c r="AI46" s="172"/>
    </row>
    <row r="47" spans="2:35" ht="15.75" customHeight="1" x14ac:dyDescent="0.3">
      <c r="B47" s="192"/>
      <c r="C47" s="195"/>
      <c r="D47" s="195"/>
      <c r="E47" s="195"/>
      <c r="F47" s="195"/>
      <c r="G47" s="51"/>
      <c r="H47" s="58"/>
      <c r="I47" s="58"/>
      <c r="J47" s="82"/>
      <c r="L47" s="2"/>
      <c r="M47" s="2"/>
      <c r="N47" s="2"/>
      <c r="O47" s="11"/>
      <c r="P47" s="2"/>
      <c r="Q47" s="2"/>
      <c r="R47" s="2"/>
      <c r="S47" s="2"/>
      <c r="T47" s="2"/>
      <c r="U47" s="2"/>
      <c r="V47" s="2"/>
      <c r="W47" s="92" t="s">
        <v>49</v>
      </c>
      <c r="X47" s="67" t="s">
        <v>76</v>
      </c>
      <c r="Y47" s="67" t="s">
        <v>77</v>
      </c>
      <c r="Z47" s="67" t="s">
        <v>78</v>
      </c>
      <c r="AA47" s="195"/>
      <c r="AB47" s="197"/>
      <c r="AG47" s="172"/>
      <c r="AH47" s="172"/>
      <c r="AI47" s="172"/>
    </row>
    <row r="48" spans="2:35" ht="15.75" customHeight="1" x14ac:dyDescent="0.3">
      <c r="B48" s="71" t="s">
        <v>36</v>
      </c>
      <c r="C48" s="15">
        <v>2000</v>
      </c>
      <c r="D48" s="1" t="s">
        <v>20</v>
      </c>
      <c r="E48" s="51" t="s">
        <v>154</v>
      </c>
      <c r="F48" s="108">
        <f t="shared" ref="F48:F53" si="6">IFERROR(IF(D48="total",C48/NatBulls,C48)/IF(E48="one time",$D$16,1),0)</f>
        <v>500</v>
      </c>
      <c r="G48" s="51"/>
      <c r="H48" s="51"/>
      <c r="I48" s="51"/>
      <c r="J48" s="75"/>
      <c r="L48" s="2"/>
      <c r="M48" s="2" t="s">
        <v>48</v>
      </c>
      <c r="N48" s="2"/>
      <c r="O48" s="2"/>
      <c r="P48" s="2"/>
      <c r="Q48" s="2"/>
      <c r="R48" s="2" t="s">
        <v>38</v>
      </c>
      <c r="S48" s="2" t="s">
        <v>154</v>
      </c>
      <c r="T48" s="2"/>
      <c r="U48" s="2"/>
      <c r="V48" s="2"/>
      <c r="W48" s="79" t="s">
        <v>101</v>
      </c>
      <c r="X48" s="15">
        <v>20000</v>
      </c>
      <c r="Y48" s="15">
        <v>5000</v>
      </c>
      <c r="Z48" s="15">
        <v>15</v>
      </c>
      <c r="AA48" s="15">
        <v>300</v>
      </c>
      <c r="AB48" s="114">
        <f>IF(HerdSize=0,0,IF(Z48=0,0,(X48-Y48)/Z48/HerdSize))</f>
        <v>10</v>
      </c>
      <c r="AG48" s="172"/>
      <c r="AH48" s="172"/>
      <c r="AI48" s="172"/>
    </row>
    <row r="49" spans="2:34" ht="15.75" customHeight="1" x14ac:dyDescent="0.3">
      <c r="B49" s="71" t="s">
        <v>35</v>
      </c>
      <c r="C49" s="15">
        <v>50</v>
      </c>
      <c r="D49" s="1" t="s">
        <v>28</v>
      </c>
      <c r="E49" s="51" t="s">
        <v>38</v>
      </c>
      <c r="F49" s="108">
        <f t="shared" si="6"/>
        <v>12.5</v>
      </c>
      <c r="G49" s="51"/>
      <c r="H49" s="51"/>
      <c r="I49" s="51"/>
      <c r="J49" s="75"/>
      <c r="L49" s="2"/>
      <c r="M49" s="2"/>
      <c r="N49" s="2"/>
      <c r="O49" s="2"/>
      <c r="P49" s="2"/>
      <c r="Q49" s="2"/>
      <c r="R49" s="2"/>
      <c r="S49" s="2"/>
      <c r="T49" s="2"/>
      <c r="U49" s="2"/>
      <c r="V49" s="2"/>
      <c r="W49" s="79" t="s">
        <v>102</v>
      </c>
      <c r="X49" s="15">
        <v>500</v>
      </c>
      <c r="Y49" s="15">
        <v>200</v>
      </c>
      <c r="Z49" s="15">
        <v>15</v>
      </c>
      <c r="AA49" s="15"/>
      <c r="AB49" s="113">
        <f>IF(HerdSize=0,0,IF(Z49=0,0,(X49-Y49)/Z49/HerdSize))</f>
        <v>0.2</v>
      </c>
      <c r="AG49" s="173"/>
      <c r="AH49" s="173"/>
    </row>
    <row r="50" spans="2:34" ht="15.75" customHeight="1" x14ac:dyDescent="0.3">
      <c r="B50" s="71" t="s">
        <v>37</v>
      </c>
      <c r="C50" s="15">
        <v>4.75</v>
      </c>
      <c r="D50" s="1" t="s">
        <v>28</v>
      </c>
      <c r="E50" s="1" t="s">
        <v>154</v>
      </c>
      <c r="F50" s="108">
        <f>IFERROR(IF(D50="total",C50/NatBulls,C50)/IF(E50="one time",$D$16,1),0)</f>
        <v>4.75</v>
      </c>
      <c r="G50" s="51"/>
      <c r="H50" s="51"/>
      <c r="I50" s="51"/>
      <c r="J50" s="75"/>
      <c r="L50" s="2"/>
      <c r="M50" s="2"/>
      <c r="N50" s="2"/>
      <c r="O50" s="2"/>
      <c r="P50" s="2"/>
      <c r="Q50" s="2"/>
      <c r="R50" s="2"/>
      <c r="S50" s="2"/>
      <c r="T50" s="2"/>
      <c r="U50" s="2"/>
      <c r="V50" s="2"/>
      <c r="W50" s="79"/>
      <c r="X50" s="15"/>
      <c r="Y50" s="15"/>
      <c r="Z50" s="15"/>
      <c r="AA50" s="15"/>
      <c r="AB50" s="113">
        <f>IF(HerdSize=0,0,IF(Z50=0,0,(X50-Y50)/Z50/HerdSize))</f>
        <v>0</v>
      </c>
      <c r="AH50" s="173"/>
    </row>
    <row r="51" spans="2:34" ht="15.75" customHeight="1" x14ac:dyDescent="0.3">
      <c r="B51" s="79" t="s">
        <v>34</v>
      </c>
      <c r="C51" s="15">
        <v>50</v>
      </c>
      <c r="D51" s="1" t="s">
        <v>28</v>
      </c>
      <c r="E51" s="1" t="s">
        <v>38</v>
      </c>
      <c r="F51" s="108">
        <f t="shared" si="6"/>
        <v>12.5</v>
      </c>
      <c r="G51" s="51"/>
      <c r="H51" s="51"/>
      <c r="I51" s="51"/>
      <c r="J51" s="75"/>
      <c r="L51" s="2"/>
      <c r="M51" s="2"/>
      <c r="N51" s="2"/>
      <c r="O51" s="2"/>
      <c r="P51" s="2"/>
      <c r="Q51" s="2"/>
      <c r="R51" s="2"/>
      <c r="S51" s="2"/>
      <c r="T51" s="2"/>
      <c r="U51" s="2"/>
      <c r="V51" s="2"/>
      <c r="W51" s="79"/>
      <c r="X51" s="15"/>
      <c r="Y51" s="15"/>
      <c r="Z51" s="15"/>
      <c r="AA51" s="15"/>
      <c r="AB51" s="113">
        <f>IF(HerdSize=0,0,IF(Z51=0,0,(X51-Y51)/Z51/HerdSize))</f>
        <v>0</v>
      </c>
    </row>
    <row r="52" spans="2:34" ht="15.75" customHeight="1" thickBot="1" x14ac:dyDescent="0.35">
      <c r="B52" s="79" t="s">
        <v>52</v>
      </c>
      <c r="C52" s="15">
        <v>6.5</v>
      </c>
      <c r="D52" s="1" t="s">
        <v>28</v>
      </c>
      <c r="E52" s="1" t="s">
        <v>154</v>
      </c>
      <c r="F52" s="108">
        <f t="shared" si="6"/>
        <v>6.5</v>
      </c>
      <c r="G52" s="51"/>
      <c r="H52" s="51"/>
      <c r="I52" s="51"/>
      <c r="J52" s="75"/>
      <c r="L52" s="2"/>
      <c r="M52" s="2"/>
      <c r="N52" s="2"/>
      <c r="O52" s="2"/>
      <c r="P52" s="2"/>
      <c r="Q52" s="2"/>
      <c r="R52" s="2"/>
      <c r="S52" s="2"/>
      <c r="T52" s="2"/>
      <c r="U52" s="2"/>
      <c r="V52" s="2"/>
      <c r="W52" s="93"/>
      <c r="X52" s="94"/>
      <c r="Y52" s="95"/>
      <c r="Z52" s="94"/>
      <c r="AA52" s="94"/>
      <c r="AB52" s="86"/>
    </row>
    <row r="53" spans="2:34" ht="15.75" customHeight="1" x14ac:dyDescent="0.3">
      <c r="B53" s="79" t="s">
        <v>53</v>
      </c>
      <c r="C53" s="15">
        <v>3.5</v>
      </c>
      <c r="D53" s="1" t="s">
        <v>28</v>
      </c>
      <c r="E53" s="1" t="s">
        <v>154</v>
      </c>
      <c r="F53" s="108">
        <f t="shared" si="6"/>
        <v>3.5</v>
      </c>
      <c r="G53" s="51"/>
      <c r="H53" s="51"/>
      <c r="I53" s="51"/>
      <c r="J53" s="75"/>
      <c r="L53" s="2"/>
      <c r="M53" s="2"/>
      <c r="N53" s="2"/>
      <c r="O53" s="2"/>
      <c r="P53" s="2"/>
      <c r="Q53" s="2"/>
      <c r="R53" s="2"/>
      <c r="S53" s="2"/>
      <c r="T53" s="2"/>
      <c r="U53" s="2"/>
      <c r="V53" s="2"/>
      <c r="W53" s="234" t="s">
        <v>85</v>
      </c>
      <c r="X53" s="235"/>
      <c r="Y53" s="235"/>
      <c r="Z53" s="235"/>
      <c r="AA53" s="235"/>
      <c r="AB53" s="236"/>
    </row>
    <row r="54" spans="2:34" ht="15.75" customHeight="1" x14ac:dyDescent="0.3">
      <c r="B54" s="79"/>
      <c r="C54" s="15"/>
      <c r="D54" s="1"/>
      <c r="E54" s="1"/>
      <c r="F54" s="108"/>
      <c r="G54" s="51"/>
      <c r="H54" s="51"/>
      <c r="I54" s="51"/>
      <c r="J54" s="75"/>
      <c r="L54" s="2"/>
      <c r="M54" s="2"/>
      <c r="N54" s="2"/>
      <c r="O54" s="2"/>
      <c r="P54" s="2"/>
      <c r="Q54" s="2"/>
      <c r="R54" s="2"/>
      <c r="S54" s="2"/>
      <c r="T54" s="2"/>
      <c r="U54" s="2"/>
      <c r="V54" s="2"/>
      <c r="W54" s="237"/>
      <c r="X54" s="238"/>
      <c r="Y54" s="238"/>
      <c r="Z54" s="238"/>
      <c r="AA54" s="238"/>
      <c r="AB54" s="239"/>
    </row>
    <row r="55" spans="2:34" ht="15.75" customHeight="1" x14ac:dyDescent="0.3">
      <c r="B55" s="79"/>
      <c r="C55" s="15"/>
      <c r="D55" s="1"/>
      <c r="E55" s="1"/>
      <c r="F55" s="108">
        <f>IFERROR(IF(D55="total",C55/NatBulls,C55)/IF(E55="one time",$D$16,1),0)</f>
        <v>0</v>
      </c>
      <c r="G55" s="51"/>
      <c r="H55" s="51"/>
      <c r="I55" s="51"/>
      <c r="J55" s="75"/>
      <c r="L55" s="2"/>
      <c r="M55" s="2"/>
      <c r="N55" s="2"/>
      <c r="O55" s="2"/>
      <c r="P55" s="2"/>
      <c r="Q55" s="2"/>
      <c r="R55" s="2"/>
      <c r="S55" s="2"/>
      <c r="T55" s="2"/>
      <c r="U55" s="2"/>
      <c r="V55" s="2"/>
      <c r="W55" s="240"/>
      <c r="X55" s="241"/>
      <c r="Y55" s="241"/>
      <c r="Z55" s="241"/>
      <c r="AA55" s="241"/>
      <c r="AB55" s="242"/>
    </row>
    <row r="56" spans="2:34" ht="15.75" customHeight="1" thickBot="1" x14ac:dyDescent="0.35">
      <c r="B56" s="83"/>
      <c r="C56" s="84"/>
      <c r="D56" s="84"/>
      <c r="E56" s="85"/>
      <c r="F56" s="84"/>
      <c r="G56" s="84"/>
      <c r="H56" s="84"/>
      <c r="I56" s="84"/>
      <c r="J56" s="86"/>
      <c r="L56" s="2"/>
      <c r="M56" s="2"/>
      <c r="N56" s="2"/>
      <c r="O56" s="2"/>
      <c r="P56" s="2"/>
      <c r="Q56" s="2"/>
      <c r="R56" s="2"/>
      <c r="S56" s="2"/>
      <c r="T56" s="2"/>
      <c r="U56" s="2"/>
      <c r="V56" s="2"/>
      <c r="W56" s="246" t="s">
        <v>90</v>
      </c>
      <c r="X56" s="116"/>
      <c r="Y56" s="116"/>
      <c r="Z56" s="202" t="s">
        <v>150</v>
      </c>
      <c r="AA56" s="202" t="s">
        <v>133</v>
      </c>
      <c r="AB56" s="206"/>
    </row>
    <row r="57" spans="2:34" ht="15.75" customHeight="1" x14ac:dyDescent="0.3">
      <c r="B57" s="234" t="s">
        <v>69</v>
      </c>
      <c r="C57" s="235"/>
      <c r="D57" s="235"/>
      <c r="E57" s="235"/>
      <c r="F57" s="235"/>
      <c r="G57" s="235"/>
      <c r="H57" s="235"/>
      <c r="I57" s="235"/>
      <c r="J57" s="236"/>
      <c r="L57" s="2"/>
      <c r="M57" s="2"/>
      <c r="N57" s="2"/>
      <c r="O57" s="2"/>
      <c r="P57" s="2"/>
      <c r="Q57" s="2"/>
      <c r="R57" s="2"/>
      <c r="S57" s="2"/>
      <c r="T57" s="2"/>
      <c r="U57" s="2"/>
      <c r="V57" s="2"/>
      <c r="W57" s="200"/>
      <c r="X57" s="121"/>
      <c r="Y57" s="121"/>
      <c r="Z57" s="202"/>
      <c r="AA57" s="202"/>
      <c r="AB57" s="206"/>
    </row>
    <row r="58" spans="2:34" ht="15.75" customHeight="1" thickBot="1" x14ac:dyDescent="0.35">
      <c r="B58" s="237"/>
      <c r="C58" s="238"/>
      <c r="D58" s="238"/>
      <c r="E58" s="238"/>
      <c r="F58" s="238"/>
      <c r="G58" s="238"/>
      <c r="H58" s="238"/>
      <c r="I58" s="238"/>
      <c r="J58" s="239"/>
      <c r="L58" s="2"/>
      <c r="M58" s="2"/>
      <c r="N58" s="2"/>
      <c r="O58" s="2"/>
      <c r="P58" s="2"/>
      <c r="Q58" s="2"/>
      <c r="R58" s="2"/>
      <c r="S58" s="2"/>
      <c r="T58" s="2"/>
      <c r="U58" s="2"/>
      <c r="V58" s="2"/>
      <c r="W58" s="200"/>
      <c r="X58" s="121"/>
      <c r="Y58" s="136" t="s">
        <v>91</v>
      </c>
      <c r="Z58" s="203"/>
      <c r="AA58" s="203"/>
      <c r="AB58" s="206"/>
    </row>
    <row r="59" spans="2:34" ht="15.75" customHeight="1" x14ac:dyDescent="0.3">
      <c r="B59" s="240"/>
      <c r="C59" s="241"/>
      <c r="D59" s="241"/>
      <c r="E59" s="241"/>
      <c r="F59" s="241"/>
      <c r="G59" s="241"/>
      <c r="H59" s="241"/>
      <c r="I59" s="241"/>
      <c r="J59" s="242"/>
      <c r="L59" s="2"/>
      <c r="M59" s="2"/>
      <c r="N59" s="2"/>
      <c r="O59" s="2"/>
      <c r="P59" s="2"/>
      <c r="Q59" s="2"/>
      <c r="R59" s="2"/>
      <c r="S59" s="2"/>
      <c r="T59" s="2"/>
      <c r="U59" s="2"/>
      <c r="V59" s="2"/>
      <c r="W59" s="130" t="s">
        <v>86</v>
      </c>
      <c r="X59" s="125"/>
      <c r="Y59" s="137">
        <f>IF(HerdSize=0,0,Z59*HerdSize)</f>
        <v>720</v>
      </c>
      <c r="Z59" s="138">
        <f>SUM(AA14:AA17)</f>
        <v>7.2</v>
      </c>
      <c r="AA59" s="138">
        <f>IF(AIPregRate=0,0,Z59/(AIPregRate/100))</f>
        <v>9</v>
      </c>
      <c r="AB59" s="139"/>
    </row>
    <row r="60" spans="2:34" ht="15.75" customHeight="1" x14ac:dyDescent="0.3">
      <c r="B60" s="115"/>
      <c r="C60" s="116"/>
      <c r="D60" s="116"/>
      <c r="E60" s="117"/>
      <c r="F60" s="204" t="s">
        <v>121</v>
      </c>
      <c r="G60" s="204" t="s">
        <v>120</v>
      </c>
      <c r="H60" s="117"/>
      <c r="I60" s="118"/>
      <c r="J60" s="119"/>
      <c r="L60" s="2"/>
      <c r="M60" s="2"/>
      <c r="N60" s="2"/>
      <c r="O60" s="2"/>
      <c r="P60" s="2"/>
      <c r="Q60" s="2"/>
      <c r="R60" s="2"/>
      <c r="S60" s="2"/>
      <c r="T60" s="2"/>
      <c r="U60" s="2"/>
      <c r="V60" s="2"/>
      <c r="W60" s="130" t="s">
        <v>87</v>
      </c>
      <c r="X60" s="125"/>
      <c r="Y60" s="137">
        <f>IF(HerdSize=0,0,Z60*HerdSize)</f>
        <v>600</v>
      </c>
      <c r="Z60" s="138">
        <f>SUM(AA22:AA26)</f>
        <v>6</v>
      </c>
      <c r="AA60" s="138">
        <f>IF(AIPregRate=0,0,Z60/(AIPregRate/100))</f>
        <v>7.5</v>
      </c>
      <c r="AB60" s="139"/>
    </row>
    <row r="61" spans="2:34" ht="15.75" customHeight="1" x14ac:dyDescent="0.3">
      <c r="B61" s="115"/>
      <c r="C61" s="116"/>
      <c r="D61" s="116"/>
      <c r="E61" s="117"/>
      <c r="F61" s="204"/>
      <c r="G61" s="204"/>
      <c r="H61" s="117"/>
      <c r="I61" s="204" t="s">
        <v>127</v>
      </c>
      <c r="J61" s="119"/>
      <c r="L61" s="2"/>
      <c r="M61" s="2"/>
      <c r="N61" s="2"/>
      <c r="O61" s="2"/>
      <c r="P61" s="2"/>
      <c r="Q61" s="2"/>
      <c r="R61" s="2"/>
      <c r="S61" s="2"/>
      <c r="T61" s="2"/>
      <c r="U61" s="2"/>
      <c r="V61" s="2"/>
      <c r="W61" s="130"/>
      <c r="X61" s="125"/>
      <c r="Y61" s="137"/>
      <c r="Z61" s="138"/>
      <c r="AA61" s="138"/>
      <c r="AB61" s="139"/>
    </row>
    <row r="62" spans="2:34" ht="15.75" customHeight="1" thickBot="1" x14ac:dyDescent="0.35">
      <c r="B62" s="120"/>
      <c r="C62" s="121"/>
      <c r="D62" s="122" t="s">
        <v>67</v>
      </c>
      <c r="E62" s="122" t="s">
        <v>57</v>
      </c>
      <c r="F62" s="205"/>
      <c r="G62" s="205"/>
      <c r="H62" s="123"/>
      <c r="I62" s="205"/>
      <c r="J62" s="124"/>
      <c r="L62" s="2"/>
      <c r="M62" s="2"/>
      <c r="N62" s="2"/>
      <c r="O62" s="2"/>
      <c r="P62" s="2"/>
      <c r="Q62" s="2"/>
      <c r="R62" s="2"/>
      <c r="S62" s="2"/>
      <c r="T62" s="2"/>
      <c r="U62" s="2"/>
      <c r="V62" s="2"/>
      <c r="W62" s="130"/>
      <c r="X62" s="125"/>
      <c r="Y62" s="137"/>
      <c r="Z62" s="138"/>
      <c r="AA62" s="138"/>
      <c r="AB62" s="139"/>
    </row>
    <row r="63" spans="2:34" ht="15.75" customHeight="1" x14ac:dyDescent="0.3">
      <c r="B63" s="120" t="s">
        <v>108</v>
      </c>
      <c r="C63" s="125"/>
      <c r="D63" s="117">
        <f>E63*$D$6</f>
        <v>2565</v>
      </c>
      <c r="E63" s="117">
        <f>(D15-H19)/D16</f>
        <v>641.25</v>
      </c>
      <c r="F63" s="126">
        <f>IF(HerdSize=0,0,D63/HerdSize)</f>
        <v>25.65</v>
      </c>
      <c r="G63" s="127">
        <f>IF(HerdSize=0,0,IF(NatPregRate=0,0,D63/(HerdSize*NatPregRate/100)))</f>
        <v>27.580645161290324</v>
      </c>
      <c r="H63" s="117"/>
      <c r="I63" s="127">
        <f>IF(HerdSize=0,0,IF(NatWeanRate=0,0,D63/(HerdSize*NatWeanRate/100)))</f>
        <v>27.580645161290324</v>
      </c>
      <c r="J63" s="124"/>
      <c r="K63" s="169"/>
      <c r="L63" s="24"/>
      <c r="M63" s="24"/>
      <c r="N63" s="24"/>
      <c r="O63" s="24"/>
      <c r="P63" s="24"/>
      <c r="Q63" s="24"/>
      <c r="R63" s="24"/>
      <c r="S63" s="24"/>
      <c r="T63" s="24"/>
      <c r="U63" s="24"/>
      <c r="V63" s="24"/>
      <c r="W63" s="130" t="s">
        <v>88</v>
      </c>
      <c r="X63" s="125"/>
      <c r="Y63" s="137">
        <f>IF(HerdSize=0,0,Z63*HerdSize)</f>
        <v>5336</v>
      </c>
      <c r="Z63" s="138">
        <f>SUM(AA39:AA42,AA31:AA34)</f>
        <v>53.36</v>
      </c>
      <c r="AA63" s="138">
        <f>IF(AIPregRate=0,0,Z63/(AIPregRate/100))</f>
        <v>66.699999999999989</v>
      </c>
      <c r="AB63" s="139"/>
    </row>
    <row r="64" spans="2:34" ht="15.75" customHeight="1" thickBot="1" x14ac:dyDescent="0.35">
      <c r="B64" s="120" t="s">
        <v>60</v>
      </c>
      <c r="C64" s="125"/>
      <c r="D64" s="117">
        <f>E64*$D$6</f>
        <v>256.5</v>
      </c>
      <c r="E64" s="127">
        <f>D17*(H20-H19)/100</f>
        <v>64.125</v>
      </c>
      <c r="F64" s="127">
        <f>IF(HerdSize=0,0,D64/HerdSize)</f>
        <v>2.5649999999999999</v>
      </c>
      <c r="G64" s="127">
        <f>IF(HerdSize=0,0,IF(NatPregRate=0,0,D64/(HerdSize*NatPregRate/100)))</f>
        <v>2.7580645161290325</v>
      </c>
      <c r="H64" s="117"/>
      <c r="I64" s="127">
        <f>IF(HerdSize=0,0,IF(NatWeanRate=0,0,D64/(HerdSize*NatWeanRate/100)))</f>
        <v>2.7580645161290325</v>
      </c>
      <c r="J64" s="124"/>
      <c r="L64" s="2"/>
      <c r="M64" s="2"/>
      <c r="N64" s="2"/>
      <c r="O64" s="2"/>
      <c r="P64" s="2"/>
      <c r="Q64" s="2"/>
      <c r="R64" s="2"/>
      <c r="S64" s="2"/>
      <c r="T64" s="2"/>
      <c r="U64" s="2"/>
      <c r="V64" s="2"/>
      <c r="W64" s="130" t="s">
        <v>89</v>
      </c>
      <c r="X64" s="125"/>
      <c r="Y64" s="140">
        <f>IF(HerdSize=0,0,Z64*HerdSize)</f>
        <v>300</v>
      </c>
      <c r="Z64" s="141">
        <f>IF(HerdSize=0,0,SUM(AA48:AA51)/HerdSize)</f>
        <v>3</v>
      </c>
      <c r="AA64" s="141">
        <f>IF(AIPregRate=0,0,Z64/(AIPregRate/100))</f>
        <v>3.75</v>
      </c>
      <c r="AB64" s="139"/>
    </row>
    <row r="65" spans="1:56" ht="15.75" customHeight="1" thickTop="1" x14ac:dyDescent="0.3">
      <c r="B65" s="120" t="s">
        <v>63</v>
      </c>
      <c r="C65" s="125"/>
      <c r="D65" s="117">
        <f>E65*$D$6</f>
        <v>217.4</v>
      </c>
      <c r="E65" s="127">
        <f>D18*H20/100</f>
        <v>54.35</v>
      </c>
      <c r="F65" s="127">
        <f>IF(HerdSize=0,0,D65/HerdSize)</f>
        <v>2.1739999999999999</v>
      </c>
      <c r="G65" s="127">
        <f>IF(HerdSize=0,0,IF(NatPregRate=0,0,D65/(HerdSize*NatPregRate/100)))</f>
        <v>2.3376344086021508</v>
      </c>
      <c r="H65" s="117"/>
      <c r="I65" s="127">
        <f>IF(HerdSize=0,0,IF(NatWeanRate=0,0,D65/(HerdSize*NatWeanRate/100)))</f>
        <v>2.3376344086021508</v>
      </c>
      <c r="J65" s="124"/>
      <c r="L65" s="2"/>
      <c r="M65" s="2"/>
      <c r="N65" s="2"/>
      <c r="O65" s="2"/>
      <c r="P65" s="2"/>
      <c r="Q65" s="2"/>
      <c r="R65" s="2"/>
      <c r="S65" s="2"/>
      <c r="T65" s="2"/>
      <c r="U65" s="2"/>
      <c r="V65" s="2"/>
      <c r="W65" s="142" t="s">
        <v>66</v>
      </c>
      <c r="X65" s="125"/>
      <c r="Y65" s="137">
        <f>SUM(Y59:Y64)</f>
        <v>6956</v>
      </c>
      <c r="Z65" s="138">
        <f>IF(HerdSize=0,0,SUM(Z59:Z64))</f>
        <v>69.56</v>
      </c>
      <c r="AA65" s="138">
        <f>IF(AIPregRate=0,0,Z65/(AIPregRate/100))</f>
        <v>86.95</v>
      </c>
      <c r="AB65" s="139"/>
      <c r="AC65" s="169"/>
    </row>
    <row r="66" spans="1:56" x14ac:dyDescent="0.3">
      <c r="B66" s="120" t="s">
        <v>64</v>
      </c>
      <c r="C66" s="125"/>
      <c r="D66" s="117">
        <f>E66*$D$6</f>
        <v>2252.1369863013697</v>
      </c>
      <c r="E66" s="117">
        <f>SUM(G25:G29,J34:J43)</f>
        <v>563.03424657534242</v>
      </c>
      <c r="F66" s="127">
        <f>IF(HerdSize=0,0,D66/HerdSize)</f>
        <v>22.521369863013696</v>
      </c>
      <c r="G66" s="127">
        <f>IF(HerdSize=0,0,IF(NatPregRate=0,0,D66/(HerdSize*NatPregRate/100)))</f>
        <v>24.216526734423329</v>
      </c>
      <c r="H66" s="117"/>
      <c r="I66" s="127">
        <f>IF(HerdSize=0,0,IF(NatWeanRate=0,0,D66/(HerdSize*NatWeanRate/100)))</f>
        <v>24.216526734423329</v>
      </c>
      <c r="J66" s="124"/>
      <c r="W66" s="142"/>
      <c r="X66" s="125"/>
      <c r="Y66" s="137"/>
      <c r="Z66" s="138"/>
      <c r="AA66" s="143"/>
      <c r="AB66" s="139"/>
      <c r="AC66" s="169"/>
    </row>
    <row r="67" spans="1:56" ht="16.2" thickBot="1" x14ac:dyDescent="0.35">
      <c r="B67" s="120" t="s">
        <v>65</v>
      </c>
      <c r="C67" s="125"/>
      <c r="D67" s="128">
        <f>E67*$D$6</f>
        <v>2159</v>
      </c>
      <c r="E67" s="128">
        <f>SUM(F48:F55)</f>
        <v>539.75</v>
      </c>
      <c r="F67" s="129">
        <f>IF(HerdSize=0,0,D67/HerdSize)</f>
        <v>21.59</v>
      </c>
      <c r="G67" s="129">
        <f>IF(HerdSize=0,0,IF(NatPregRate=0,0,D67/(HerdSize*NatPregRate/100)))</f>
        <v>23.21505376344086</v>
      </c>
      <c r="H67" s="128"/>
      <c r="I67" s="129">
        <f>IF(HerdSize=0,0,IF(NatWeanRate=0,0,D67/(HerdSize*NatWeanRate/100)))</f>
        <v>23.21505376344086</v>
      </c>
      <c r="J67" s="124"/>
      <c r="W67" s="130" t="s">
        <v>122</v>
      </c>
      <c r="X67" s="125"/>
      <c r="Y67" s="137">
        <f>IF(HerdSize=0,0,Z67*HerdSize)</f>
        <v>1019.9999999999999</v>
      </c>
      <c r="Z67" s="138">
        <f>SUM(AB48:AB51)</f>
        <v>10.199999999999999</v>
      </c>
      <c r="AA67" s="138">
        <f>IF(AIPregRate=0,0,Z67/(AIPregRate/100))</f>
        <v>12.749999999999998</v>
      </c>
      <c r="AB67" s="139"/>
    </row>
    <row r="68" spans="1:56" ht="16.8" thickTop="1" thickBot="1" x14ac:dyDescent="0.35">
      <c r="B68" s="130"/>
      <c r="C68" s="131" t="s">
        <v>66</v>
      </c>
      <c r="D68" s="117">
        <f>SUM(D63:D67)</f>
        <v>7450.0369863013693</v>
      </c>
      <c r="E68" s="117">
        <f>SUM(E63:E67)</f>
        <v>1862.5092465753423</v>
      </c>
      <c r="F68" s="127">
        <f>SUM(F63:F67)</f>
        <v>74.500369863013702</v>
      </c>
      <c r="G68" s="127">
        <f>SUM(G63:G67)</f>
        <v>80.107924583885705</v>
      </c>
      <c r="H68" s="117"/>
      <c r="I68" s="127">
        <f>SUM(I63:I67)</f>
        <v>80.107924583885705</v>
      </c>
      <c r="J68" s="124"/>
      <c r="W68" s="130" t="s">
        <v>123</v>
      </c>
      <c r="X68" s="125"/>
      <c r="Y68" s="140">
        <f>InterestRate/100*(SUM(X48:X51)+SUM(Y48:Y51))/2</f>
        <v>642.5</v>
      </c>
      <c r="Z68" s="141">
        <f>IF(HerdSize=0,0,Y68/HerdSize)</f>
        <v>6.4249999999999998</v>
      </c>
      <c r="AA68" s="141">
        <f>IF(AIPregRate=0,0,Z68/(AIPregRate/100))</f>
        <v>8.03125</v>
      </c>
      <c r="AB68" s="139"/>
    </row>
    <row r="69" spans="1:56" ht="16.2" thickTop="1" x14ac:dyDescent="0.3">
      <c r="B69" s="120"/>
      <c r="C69" s="125"/>
      <c r="D69" s="117"/>
      <c r="E69" s="117"/>
      <c r="F69" s="127"/>
      <c r="G69" s="132"/>
      <c r="H69" s="117"/>
      <c r="I69" s="127"/>
      <c r="J69" s="124"/>
      <c r="W69" s="142" t="s">
        <v>40</v>
      </c>
      <c r="X69" s="125"/>
      <c r="Y69" s="144">
        <f>Y65+SUM(Y67:Y68)</f>
        <v>8618.5</v>
      </c>
      <c r="Z69" s="138">
        <f>SUM(Z65:Z68)</f>
        <v>86.185000000000002</v>
      </c>
      <c r="AA69" s="138">
        <f>IF(AIPregRate=0,0,Z69/(AIPregRate/100))</f>
        <v>107.73125</v>
      </c>
      <c r="AB69" s="139"/>
      <c r="AD69" s="28"/>
      <c r="AE69" s="28"/>
      <c r="AF69" s="28"/>
    </row>
    <row r="70" spans="1:56" ht="16.2" thickBot="1" x14ac:dyDescent="0.35">
      <c r="B70" s="120" t="s">
        <v>115</v>
      </c>
      <c r="C70" s="125"/>
      <c r="D70" s="128">
        <f>E70*$D$6</f>
        <v>543.5</v>
      </c>
      <c r="E70" s="129">
        <f>H20*InterestRate/100</f>
        <v>135.875</v>
      </c>
      <c r="F70" s="129">
        <f>IF(HerdSize=0,0,D70/HerdSize)</f>
        <v>5.4349999999999996</v>
      </c>
      <c r="G70" s="129">
        <f>IF(HerdSize=0,0,IF(NatPregRate=0,0,D70/(HerdSize*NatPregRate/100)))</f>
        <v>5.844086021505376</v>
      </c>
      <c r="H70" s="128"/>
      <c r="I70" s="129">
        <f>IF(HerdSize=0,0,IF(NatWeanRate=0,0,D70/(HerdSize*NatWeanRate/100)))</f>
        <v>5.844086021505376</v>
      </c>
      <c r="J70" s="124"/>
      <c r="W70" s="145"/>
      <c r="X70" s="146"/>
      <c r="Y70" s="147"/>
      <c r="Z70" s="148"/>
      <c r="AA70" s="146"/>
      <c r="AB70" s="149"/>
    </row>
    <row r="71" spans="1:56" ht="16.5" customHeight="1" thickTop="1" x14ac:dyDescent="0.3">
      <c r="B71" s="130"/>
      <c r="C71" s="131" t="s">
        <v>40</v>
      </c>
      <c r="D71" s="117">
        <f>D68+D70</f>
        <v>7993.5369863013693</v>
      </c>
      <c r="E71" s="117">
        <f>E68+E70</f>
        <v>1998.3842465753423</v>
      </c>
      <c r="F71" s="127">
        <f>F68+F70</f>
        <v>79.935369863013705</v>
      </c>
      <c r="G71" s="127">
        <f>G68+G70</f>
        <v>85.952010605391081</v>
      </c>
      <c r="H71" s="117"/>
      <c r="I71" s="127">
        <f>I68+I70</f>
        <v>85.952010605391081</v>
      </c>
      <c r="J71" s="124"/>
      <c r="W71" s="200" t="s">
        <v>138</v>
      </c>
      <c r="X71" s="125"/>
      <c r="Y71" s="137"/>
      <c r="Z71" s="138"/>
      <c r="AA71" s="202" t="s">
        <v>134</v>
      </c>
      <c r="AB71" s="206"/>
    </row>
    <row r="72" spans="1:56" ht="15.75" customHeight="1" thickBot="1" x14ac:dyDescent="0.35">
      <c r="B72" s="133"/>
      <c r="C72" s="134"/>
      <c r="D72" s="134"/>
      <c r="E72" s="134"/>
      <c r="F72" s="134"/>
      <c r="G72" s="134"/>
      <c r="H72" s="134"/>
      <c r="I72" s="134"/>
      <c r="J72" s="135"/>
      <c r="W72" s="200"/>
      <c r="X72" s="125"/>
      <c r="Y72" s="116"/>
      <c r="Z72" s="202" t="s">
        <v>121</v>
      </c>
      <c r="AA72" s="202"/>
      <c r="AB72" s="206"/>
    </row>
    <row r="73" spans="1:56" ht="15.75" customHeight="1" thickBot="1" x14ac:dyDescent="0.35">
      <c r="B73" s="168"/>
      <c r="C73" s="168"/>
      <c r="D73" s="168"/>
      <c r="E73" s="168"/>
      <c r="F73" s="168"/>
      <c r="G73" s="168"/>
      <c r="H73" s="168"/>
      <c r="I73" s="168"/>
      <c r="J73" s="168"/>
      <c r="W73" s="200"/>
      <c r="X73" s="125"/>
      <c r="Y73" s="121"/>
      <c r="Z73" s="202"/>
      <c r="AA73" s="202"/>
      <c r="AB73" s="206"/>
    </row>
    <row r="74" spans="1:56" ht="15.75" customHeight="1" thickBot="1" x14ac:dyDescent="0.35">
      <c r="B74" s="225" t="s">
        <v>137</v>
      </c>
      <c r="C74" s="226"/>
      <c r="D74" s="226"/>
      <c r="E74" s="226"/>
      <c r="F74" s="226"/>
      <c r="G74" s="226"/>
      <c r="H74" s="226"/>
      <c r="I74" s="226"/>
      <c r="J74" s="227"/>
      <c r="W74" s="200"/>
      <c r="X74" s="125"/>
      <c r="Y74" s="136" t="s">
        <v>91</v>
      </c>
      <c r="Z74" s="203"/>
      <c r="AA74" s="203"/>
      <c r="AB74" s="206"/>
    </row>
    <row r="75" spans="1:56" ht="15.75" customHeight="1" x14ac:dyDescent="0.3">
      <c r="B75" s="228"/>
      <c r="C75" s="229"/>
      <c r="D75" s="229"/>
      <c r="E75" s="229"/>
      <c r="F75" s="229"/>
      <c r="G75" s="229"/>
      <c r="H75" s="229"/>
      <c r="I75" s="229"/>
      <c r="J75" s="230"/>
      <c r="W75" s="130" t="s">
        <v>128</v>
      </c>
      <c r="X75" s="125"/>
      <c r="Y75" s="137">
        <f>E68*CleanupBulls</f>
        <v>1862.5092465753423</v>
      </c>
      <c r="Z75" s="138">
        <f>IF(HerdSize=0,0,Y75/HerdSize)</f>
        <v>18.625092465753422</v>
      </c>
      <c r="AA75" s="150">
        <f>IF((AISystemPregRate-AIPregRate)=0,0,Z75/((AISystemPregRate-AIPregRate)/100))</f>
        <v>133.03637475538159</v>
      </c>
      <c r="AB75" s="139"/>
    </row>
    <row r="76" spans="1:56" ht="15.75" customHeight="1" thickBot="1" x14ac:dyDescent="0.35">
      <c r="A76" s="169"/>
      <c r="B76" s="231"/>
      <c r="C76" s="232"/>
      <c r="D76" s="232"/>
      <c r="E76" s="232"/>
      <c r="F76" s="232"/>
      <c r="G76" s="232"/>
      <c r="H76" s="232"/>
      <c r="I76" s="232"/>
      <c r="J76" s="233"/>
      <c r="W76" s="130" t="s">
        <v>124</v>
      </c>
      <c r="X76" s="125"/>
      <c r="Y76" s="140">
        <f>E70*CleanupBulls</f>
        <v>135.875</v>
      </c>
      <c r="Z76" s="141">
        <f>IF(HerdSize=0,0,Y76/HerdSize)</f>
        <v>1.3587499999999999</v>
      </c>
      <c r="AA76" s="151">
        <f>IF((AISystemPregRate-AIPregRate)=0,0,Z76/((AISystemPregRate-AIPregRate)/100))</f>
        <v>9.7053571428571406</v>
      </c>
      <c r="AB76" s="139"/>
      <c r="AG76" s="169"/>
    </row>
    <row r="77" spans="1:56" s="23" customFormat="1" ht="16.2" thickTop="1" x14ac:dyDescent="0.3">
      <c r="A77" s="168"/>
      <c r="B77" s="96"/>
      <c r="C77" s="30"/>
      <c r="D77" s="30"/>
      <c r="E77" s="243" t="s">
        <v>94</v>
      </c>
      <c r="F77" s="245" t="s">
        <v>68</v>
      </c>
      <c r="G77" s="245" t="s">
        <v>97</v>
      </c>
      <c r="H77" s="30"/>
      <c r="I77" s="30"/>
      <c r="J77" s="97"/>
      <c r="K77" s="168"/>
      <c r="L77" s="14"/>
      <c r="M77" s="14"/>
      <c r="N77" s="14"/>
      <c r="O77" s="14"/>
      <c r="P77" s="14"/>
      <c r="Q77" s="14"/>
      <c r="R77" s="14"/>
      <c r="S77" s="14"/>
      <c r="T77" s="14"/>
      <c r="U77" s="14"/>
      <c r="V77" s="14"/>
      <c r="W77" s="142" t="s">
        <v>40</v>
      </c>
      <c r="X77" s="125"/>
      <c r="Y77" s="137">
        <f>SUM(Y75:Y76)</f>
        <v>1998.3842465753423</v>
      </c>
      <c r="Z77" s="138">
        <f>SUM(Z75:Z76)</f>
        <v>19.983842465753423</v>
      </c>
      <c r="AA77" s="150">
        <f>SUM(AA75:AA76)</f>
        <v>142.74173189823873</v>
      </c>
      <c r="AB77" s="139"/>
      <c r="AC77" s="168"/>
      <c r="AD77" s="27"/>
      <c r="AE77" s="27"/>
      <c r="AF77" s="27"/>
      <c r="AG77" s="168"/>
      <c r="AH77" s="169"/>
      <c r="AI77" s="169"/>
      <c r="AJ77" s="169"/>
      <c r="AK77" s="169"/>
      <c r="AL77" s="169"/>
      <c r="AM77" s="169"/>
      <c r="AN77" s="169"/>
      <c r="AO77" s="169"/>
      <c r="AP77" s="169"/>
      <c r="AQ77" s="169"/>
      <c r="AR77" s="169"/>
      <c r="AS77" s="169"/>
      <c r="AT77" s="169"/>
      <c r="AU77" s="169"/>
      <c r="AV77" s="169"/>
      <c r="AW77" s="169"/>
      <c r="AX77" s="169"/>
      <c r="AY77" s="169"/>
      <c r="AZ77" s="43"/>
      <c r="BA77" s="43"/>
      <c r="BB77" s="43"/>
      <c r="BC77" s="43"/>
      <c r="BD77" s="43"/>
    </row>
    <row r="78" spans="1:56" ht="15.75" customHeight="1" thickBot="1" x14ac:dyDescent="0.35">
      <c r="B78" s="96"/>
      <c r="C78" s="30"/>
      <c r="D78" s="30"/>
      <c r="E78" s="244"/>
      <c r="F78" s="244"/>
      <c r="G78" s="244"/>
      <c r="H78" s="30"/>
      <c r="I78" s="30"/>
      <c r="J78" s="97"/>
      <c r="W78" s="145"/>
      <c r="X78" s="146"/>
      <c r="Y78" s="152"/>
      <c r="Z78" s="152"/>
      <c r="AA78" s="152"/>
      <c r="AB78" s="149"/>
    </row>
    <row r="79" spans="1:56" ht="16.5" customHeight="1" x14ac:dyDescent="0.3">
      <c r="B79" s="96" t="s">
        <v>140</v>
      </c>
      <c r="C79" s="30"/>
      <c r="D79" s="30"/>
      <c r="E79" s="39">
        <v>30</v>
      </c>
      <c r="F79" s="32">
        <f>IF(HerdSize=0,0,G79/HerdSize)</f>
        <v>37.200000000000003</v>
      </c>
      <c r="G79" s="33">
        <f>E79*HerdSize*AIWeanRate/100+IF(AIWeanRate&gt;NatWeanRate,(AIWeanRate-NatWeanRate)*HerdSize/100*(CalfValue),0)</f>
        <v>3720</v>
      </c>
      <c r="H79" s="30"/>
      <c r="I79" s="30"/>
      <c r="J79" s="97"/>
      <c r="W79" s="200" t="s">
        <v>139</v>
      </c>
      <c r="X79" s="201"/>
      <c r="Y79" s="121"/>
      <c r="Z79" s="116"/>
      <c r="AA79" s="204" t="s">
        <v>120</v>
      </c>
      <c r="AB79" s="139"/>
    </row>
    <row r="80" spans="1:56" ht="16.5" customHeight="1" x14ac:dyDescent="0.3">
      <c r="B80" s="96" t="s">
        <v>116</v>
      </c>
      <c r="C80" s="30"/>
      <c r="D80" s="30"/>
      <c r="E80" s="32">
        <f>IF(AIWeanRate=0,0,F80/(AIWeanRate/100))</f>
        <v>91.686170212765958</v>
      </c>
      <c r="F80" s="32">
        <f>IF(HerdSize=0,0,G80/HerdSize)</f>
        <v>86.185000000000002</v>
      </c>
      <c r="G80" s="33">
        <f>Y69</f>
        <v>8618.5</v>
      </c>
      <c r="H80" s="30"/>
      <c r="I80" s="30"/>
      <c r="J80" s="97"/>
      <c r="W80" s="200"/>
      <c r="X80" s="201"/>
      <c r="Y80" s="121"/>
      <c r="Z80" s="202" t="s">
        <v>121</v>
      </c>
      <c r="AA80" s="204"/>
      <c r="AB80" s="198" t="s">
        <v>127</v>
      </c>
    </row>
    <row r="81" spans="2:32" ht="15.75" customHeight="1" thickBot="1" x14ac:dyDescent="0.35">
      <c r="B81" s="96" t="s">
        <v>151</v>
      </c>
      <c r="C81" s="30"/>
      <c r="D81" s="30"/>
      <c r="E81" s="32">
        <f>IF(NatWeanRate=0,0,F81/(NatWeanRate/100))</f>
        <v>0</v>
      </c>
      <c r="F81" s="32">
        <f>IF(HerdSize=0,0,G81/HerdSize)</f>
        <v>0</v>
      </c>
      <c r="G81" s="33">
        <f>IF(AIWeanRate=0,0,IF(NatWeanRate&gt;AIWeanRate,(NatWeanRate-AIWeanRate)*HerdSize/100*CalfValue,0))</f>
        <v>0</v>
      </c>
      <c r="H81" s="30"/>
      <c r="I81" s="30"/>
      <c r="J81" s="97"/>
      <c r="W81" s="200"/>
      <c r="X81" s="201"/>
      <c r="Y81" s="136" t="s">
        <v>91</v>
      </c>
      <c r="Z81" s="203"/>
      <c r="AA81" s="205"/>
      <c r="AB81" s="199"/>
    </row>
    <row r="82" spans="2:32" ht="15.75" customHeight="1" thickBot="1" x14ac:dyDescent="0.35">
      <c r="B82" s="96" t="s">
        <v>152</v>
      </c>
      <c r="C82" s="30"/>
      <c r="D82" s="30"/>
      <c r="E82" s="34">
        <f>IF(AIWeanRate=0,0,F82/(AIWeanRate/100))</f>
        <v>63.778220635383271</v>
      </c>
      <c r="F82" s="34">
        <f>IF(HerdSize=0,0,G82/HerdSize)</f>
        <v>59.951527397260271</v>
      </c>
      <c r="G82" s="35">
        <f>IF(AIWeanRate=0,0,E71*(NatBulls-CleanupBulls))</f>
        <v>5995.152739726027</v>
      </c>
      <c r="H82" s="30"/>
      <c r="I82" s="30"/>
      <c r="J82" s="97"/>
      <c r="W82" s="130" t="s">
        <v>125</v>
      </c>
      <c r="X82" s="125"/>
      <c r="Y82" s="153">
        <f>Y65+Y75</f>
        <v>8818.5092465753423</v>
      </c>
      <c r="Z82" s="138">
        <f>IF(HerdSize=0,0,Y82/HerdSize)</f>
        <v>88.185092465753428</v>
      </c>
      <c r="AA82" s="150">
        <f>IF(AISystemPregRate=0,0,$Z82/(AISystemPregRate/100))</f>
        <v>93.813928155056843</v>
      </c>
      <c r="AB82" s="154">
        <f>IF(AIWeanRate=0,0,$Z82/(AIWeanRate/100))</f>
        <v>93.813928155056843</v>
      </c>
    </row>
    <row r="83" spans="2:32" ht="15.75" customHeight="1" thickTop="1" thickBot="1" x14ac:dyDescent="0.35">
      <c r="B83" s="96"/>
      <c r="C83" s="30"/>
      <c r="D83" s="30"/>
      <c r="E83" s="32"/>
      <c r="F83" s="32"/>
      <c r="G83" s="33"/>
      <c r="H83" s="30"/>
      <c r="I83" s="30"/>
      <c r="J83" s="97"/>
      <c r="W83" s="130" t="s">
        <v>126</v>
      </c>
      <c r="X83" s="125"/>
      <c r="Y83" s="155">
        <f>Y67+Y76+Y68</f>
        <v>1798.375</v>
      </c>
      <c r="Z83" s="141">
        <f>IF(HerdSize=0,0,Y83/HerdSize)</f>
        <v>17.983750000000001</v>
      </c>
      <c r="AA83" s="151">
        <f>IF(AISystemPregRate=0,0,$Z83/(AISystemPregRate/100))</f>
        <v>19.131648936170215</v>
      </c>
      <c r="AB83" s="156">
        <f>IF(AIWeanRate=0,0,$Z83/(AIWeanRate/100))</f>
        <v>19.131648936170215</v>
      </c>
    </row>
    <row r="84" spans="2:32" ht="16.2" thickTop="1" x14ac:dyDescent="0.3">
      <c r="B84" s="96"/>
      <c r="C84" s="31" t="s">
        <v>117</v>
      </c>
      <c r="D84" s="30"/>
      <c r="E84" s="32">
        <f>IF($Y$8=0,0,F84/($Y$8/100))</f>
        <v>11.666518507723694</v>
      </c>
      <c r="F84" s="32">
        <f>F79-F80+F82-F81</f>
        <v>10.966527397260272</v>
      </c>
      <c r="G84" s="33">
        <f>G79-G80+G82-G81</f>
        <v>1096.652739726027</v>
      </c>
      <c r="H84" s="30"/>
      <c r="I84" s="30"/>
      <c r="J84" s="97"/>
      <c r="W84" s="142" t="s">
        <v>40</v>
      </c>
      <c r="X84" s="125"/>
      <c r="Y84" s="153">
        <f>SUM(Y82:Y83)</f>
        <v>10616.884246575342</v>
      </c>
      <c r="Z84" s="138">
        <f>SUM(Z82:Z83)</f>
        <v>106.16884246575343</v>
      </c>
      <c r="AA84" s="138">
        <f>SUM(AA82:AA83)</f>
        <v>112.94557709122705</v>
      </c>
      <c r="AB84" s="154">
        <f>SUM(AB82:AB83)</f>
        <v>112.94557709122705</v>
      </c>
    </row>
    <row r="85" spans="2:32" ht="16.2" thickBot="1" x14ac:dyDescent="0.35">
      <c r="B85" s="98"/>
      <c r="C85" s="99"/>
      <c r="D85" s="99"/>
      <c r="E85" s="99"/>
      <c r="F85" s="99"/>
      <c r="G85" s="99"/>
      <c r="H85" s="99"/>
      <c r="I85" s="99"/>
      <c r="J85" s="100"/>
      <c r="W85" s="157"/>
      <c r="X85" s="158"/>
      <c r="Y85" s="159"/>
      <c r="Z85" s="158"/>
      <c r="AA85" s="158"/>
      <c r="AB85" s="160"/>
    </row>
    <row r="86" spans="2:32" ht="16.2" thickBot="1" x14ac:dyDescent="0.35">
      <c r="B86" s="168"/>
      <c r="C86" s="168"/>
      <c r="D86" s="168"/>
      <c r="E86" s="168"/>
      <c r="F86" s="168"/>
      <c r="G86" s="168"/>
      <c r="H86" s="168"/>
      <c r="I86" s="168"/>
      <c r="J86" s="168"/>
      <c r="L86" s="40"/>
      <c r="M86" s="40"/>
      <c r="N86" s="40"/>
      <c r="O86" s="40"/>
      <c r="P86" s="40"/>
      <c r="Q86" s="40"/>
      <c r="R86" s="40"/>
      <c r="S86" s="40"/>
      <c r="T86" s="40"/>
      <c r="U86" s="40"/>
      <c r="V86" s="40"/>
      <c r="W86" s="168"/>
      <c r="X86" s="168"/>
      <c r="Y86" s="174"/>
      <c r="Z86" s="168"/>
      <c r="AA86" s="168"/>
      <c r="AB86" s="168"/>
    </row>
    <row r="87" spans="2:32" ht="18.600000000000001" thickBot="1" x14ac:dyDescent="0.4">
      <c r="B87" s="168"/>
      <c r="C87" s="168"/>
      <c r="D87" s="168"/>
      <c r="E87" s="168"/>
      <c r="F87" s="168"/>
      <c r="G87" s="168"/>
      <c r="H87" s="168"/>
      <c r="I87" s="168"/>
      <c r="J87" s="168"/>
      <c r="L87" s="40"/>
      <c r="M87" s="40"/>
      <c r="N87" s="40"/>
      <c r="O87" s="40"/>
      <c r="P87" s="40"/>
      <c r="Q87" s="40"/>
      <c r="R87" s="40"/>
      <c r="S87" s="40"/>
      <c r="T87" s="40"/>
      <c r="U87" s="40"/>
      <c r="V87" s="40"/>
      <c r="W87" s="161"/>
      <c r="X87" s="162"/>
      <c r="Y87" s="162"/>
      <c r="Z87" s="163" t="str">
        <f>IF(($Y$84-$D$71+(NatWeanRate-AIWeanRate)*CalfValue)/(AIWeanRate*HerdSize/100)&lt;=0,"Cost advantage per calf of using AI","Increased value per calf needed to cover AI costs.")</f>
        <v>Increased value per calf needed to cover AI costs.</v>
      </c>
      <c r="AA87" s="164">
        <f>($Y$84-$D$71+(NatWeanRate-AIWeanRate)*CalfValue)/(AIWeanRate*HerdSize/100)*IF(($Y$84-$D$71+(NatWeanRate-AIWeanRate)*CalfValue)/(AIWeanRate*HerdSize/100)&lt;=0,-1,1)</f>
        <v>18.333481492276309</v>
      </c>
      <c r="AB87" s="165"/>
    </row>
    <row r="88" spans="2:32" s="168" customFormat="1" x14ac:dyDescent="0.3"/>
    <row r="89" spans="2:32" s="168" customFormat="1" ht="15.75" customHeight="1" x14ac:dyDescent="0.3">
      <c r="Y89" s="174"/>
    </row>
    <row r="90" spans="2:32" s="168" customFormat="1" ht="15.75" customHeight="1" x14ac:dyDescent="0.3">
      <c r="Y90" s="174"/>
      <c r="AD90" s="168" t="s">
        <v>95</v>
      </c>
      <c r="AE90" s="168" t="s">
        <v>96</v>
      </c>
      <c r="AF90" s="168" t="s">
        <v>20</v>
      </c>
    </row>
    <row r="91" spans="2:32" s="168" customFormat="1" ht="15.75" customHeight="1" x14ac:dyDescent="0.3">
      <c r="Y91" s="174"/>
    </row>
    <row r="92" spans="2:32" s="168" customFormat="1" ht="15.75" customHeight="1" x14ac:dyDescent="0.3">
      <c r="Y92" s="174"/>
    </row>
    <row r="93" spans="2:32" s="168" customFormat="1" ht="15.75" customHeight="1" x14ac:dyDescent="0.3">
      <c r="Y93" s="174"/>
    </row>
    <row r="94" spans="2:32" s="168" customFormat="1" ht="15.75" customHeight="1" x14ac:dyDescent="0.3">
      <c r="Y94" s="174"/>
    </row>
    <row r="95" spans="2:32" s="168" customFormat="1" ht="16.5" customHeight="1" x14ac:dyDescent="0.3">
      <c r="Y95" s="174"/>
    </row>
    <row r="96" spans="2:32" s="168" customFormat="1" ht="15.75" customHeight="1" x14ac:dyDescent="0.3">
      <c r="Y96" s="174"/>
    </row>
    <row r="97" spans="25:25" s="168" customFormat="1" ht="15.75" customHeight="1" x14ac:dyDescent="0.3">
      <c r="Y97" s="174"/>
    </row>
    <row r="98" spans="25:25" s="168" customFormat="1" ht="15.75" customHeight="1" x14ac:dyDescent="0.3">
      <c r="Y98" s="174"/>
    </row>
    <row r="99" spans="25:25" s="168" customFormat="1" ht="15.75" customHeight="1" x14ac:dyDescent="0.3">
      <c r="Y99" s="174"/>
    </row>
    <row r="100" spans="25:25" s="168" customFormat="1" ht="15.75" customHeight="1" x14ac:dyDescent="0.3">
      <c r="Y100" s="174"/>
    </row>
    <row r="101" spans="25:25" s="168" customFormat="1" x14ac:dyDescent="0.3">
      <c r="Y101" s="174"/>
    </row>
    <row r="102" spans="25:25" s="168" customFormat="1" x14ac:dyDescent="0.3">
      <c r="Y102" s="174"/>
    </row>
    <row r="103" spans="25:25" s="168" customFormat="1" x14ac:dyDescent="0.3">
      <c r="Y103" s="174"/>
    </row>
    <row r="104" spans="25:25" s="168" customFormat="1" x14ac:dyDescent="0.3">
      <c r="Y104" s="174"/>
    </row>
    <row r="105" spans="25:25" s="168" customFormat="1" x14ac:dyDescent="0.3">
      <c r="Y105" s="174"/>
    </row>
    <row r="106" spans="25:25" s="168" customFormat="1" x14ac:dyDescent="0.3">
      <c r="Y106" s="174"/>
    </row>
    <row r="107" spans="25:25" s="168" customFormat="1" x14ac:dyDescent="0.3">
      <c r="Y107" s="174"/>
    </row>
    <row r="108" spans="25:25" s="168" customFormat="1" x14ac:dyDescent="0.3">
      <c r="Y108" s="174"/>
    </row>
    <row r="109" spans="25:25" s="168" customFormat="1" x14ac:dyDescent="0.3">
      <c r="Y109" s="174"/>
    </row>
    <row r="110" spans="25:25" s="168" customFormat="1" x14ac:dyDescent="0.3">
      <c r="Y110" s="174"/>
    </row>
    <row r="111" spans="25:25" s="168" customFormat="1" x14ac:dyDescent="0.3">
      <c r="Y111" s="174"/>
    </row>
    <row r="112" spans="25:25" s="168" customFormat="1" x14ac:dyDescent="0.3">
      <c r="Y112" s="174"/>
    </row>
    <row r="113" spans="25:25" s="168" customFormat="1" x14ac:dyDescent="0.3">
      <c r="Y113" s="174"/>
    </row>
    <row r="114" spans="25:25" s="168" customFormat="1" x14ac:dyDescent="0.3">
      <c r="Y114" s="174"/>
    </row>
    <row r="115" spans="25:25" s="168" customFormat="1" x14ac:dyDescent="0.3">
      <c r="Y115" s="174"/>
    </row>
    <row r="116" spans="25:25" s="168" customFormat="1" x14ac:dyDescent="0.3">
      <c r="Y116" s="174"/>
    </row>
    <row r="117" spans="25:25" s="168" customFormat="1" x14ac:dyDescent="0.3">
      <c r="Y117" s="174"/>
    </row>
    <row r="118" spans="25:25" s="168" customFormat="1" x14ac:dyDescent="0.3">
      <c r="Y118" s="174"/>
    </row>
    <row r="119" spans="25:25" s="168" customFormat="1" x14ac:dyDescent="0.3">
      <c r="Y119" s="174"/>
    </row>
    <row r="120" spans="25:25" s="168" customFormat="1" x14ac:dyDescent="0.3">
      <c r="Y120" s="174"/>
    </row>
    <row r="121" spans="25:25" s="168" customFormat="1" x14ac:dyDescent="0.3">
      <c r="Y121" s="174"/>
    </row>
    <row r="122" spans="25:25" s="168" customFormat="1" x14ac:dyDescent="0.3">
      <c r="Y122" s="174"/>
    </row>
    <row r="123" spans="25:25" s="168" customFormat="1" x14ac:dyDescent="0.3">
      <c r="Y123" s="174"/>
    </row>
    <row r="124" spans="25:25" s="168" customFormat="1" x14ac:dyDescent="0.3">
      <c r="Y124" s="174"/>
    </row>
    <row r="125" spans="25:25" s="168" customFormat="1" x14ac:dyDescent="0.3">
      <c r="Y125" s="174"/>
    </row>
    <row r="126" spans="25:25" s="168" customFormat="1" x14ac:dyDescent="0.3">
      <c r="Y126" s="174"/>
    </row>
    <row r="127" spans="25:25" s="168" customFormat="1" x14ac:dyDescent="0.3">
      <c r="Y127" s="174"/>
    </row>
    <row r="128" spans="25:25" s="168" customFormat="1" x14ac:dyDescent="0.3">
      <c r="Y128" s="174"/>
    </row>
    <row r="129" spans="25:25" s="168" customFormat="1" x14ac:dyDescent="0.3">
      <c r="Y129" s="174"/>
    </row>
    <row r="130" spans="25:25" s="168" customFormat="1" x14ac:dyDescent="0.3">
      <c r="Y130" s="174"/>
    </row>
    <row r="131" spans="25:25" s="168" customFormat="1" x14ac:dyDescent="0.3">
      <c r="Y131" s="174"/>
    </row>
    <row r="132" spans="25:25" s="168" customFormat="1" x14ac:dyDescent="0.3">
      <c r="Y132" s="174"/>
    </row>
    <row r="133" spans="25:25" s="168" customFormat="1" x14ac:dyDescent="0.3">
      <c r="Y133" s="174"/>
    </row>
    <row r="134" spans="25:25" s="168" customFormat="1" x14ac:dyDescent="0.3">
      <c r="Y134" s="174"/>
    </row>
    <row r="135" spans="25:25" s="168" customFormat="1" x14ac:dyDescent="0.3">
      <c r="Y135" s="174"/>
    </row>
    <row r="136" spans="25:25" s="168" customFormat="1" x14ac:dyDescent="0.3">
      <c r="Y136" s="174"/>
    </row>
    <row r="137" spans="25:25" s="168" customFormat="1" x14ac:dyDescent="0.3">
      <c r="Y137" s="174"/>
    </row>
    <row r="138" spans="25:25" s="168" customFormat="1" x14ac:dyDescent="0.3">
      <c r="Y138" s="174"/>
    </row>
    <row r="139" spans="25:25" s="168" customFormat="1" x14ac:dyDescent="0.3">
      <c r="Y139" s="174"/>
    </row>
    <row r="140" spans="25:25" s="168" customFormat="1" x14ac:dyDescent="0.3">
      <c r="Y140" s="174"/>
    </row>
    <row r="141" spans="25:25" s="168" customFormat="1" x14ac:dyDescent="0.3">
      <c r="Y141" s="174"/>
    </row>
    <row r="142" spans="25:25" s="168" customFormat="1" x14ac:dyDescent="0.3">
      <c r="Y142" s="174"/>
    </row>
    <row r="143" spans="25:25" s="168" customFormat="1" x14ac:dyDescent="0.3">
      <c r="Y143" s="174"/>
    </row>
    <row r="144" spans="25:25" s="168" customFormat="1" x14ac:dyDescent="0.3">
      <c r="Y144" s="174"/>
    </row>
    <row r="145" spans="1:51" s="168" customFormat="1" x14ac:dyDescent="0.3">
      <c r="Y145" s="174"/>
    </row>
    <row r="146" spans="1:51" s="168" customFormat="1" x14ac:dyDescent="0.3">
      <c r="Y146" s="174"/>
    </row>
    <row r="147" spans="1:51" s="168" customFormat="1" x14ac:dyDescent="0.3">
      <c r="Y147" s="174"/>
    </row>
    <row r="148" spans="1:51" s="168" customFormat="1" x14ac:dyDescent="0.3">
      <c r="Y148" s="174"/>
    </row>
    <row r="149" spans="1:51" s="168" customFormat="1" x14ac:dyDescent="0.3">
      <c r="Y149" s="174"/>
    </row>
    <row r="150" spans="1:51" s="168" customFormat="1" x14ac:dyDescent="0.3">
      <c r="Y150" s="174"/>
    </row>
    <row r="151" spans="1:51" s="168" customFormat="1" x14ac:dyDescent="0.3">
      <c r="Y151" s="174"/>
    </row>
    <row r="152" spans="1:51" s="40" customFormat="1" x14ac:dyDescent="0.3">
      <c r="A152" s="168"/>
      <c r="K152" s="168"/>
      <c r="Y152" s="44"/>
      <c r="AC152" s="168"/>
      <c r="AG152" s="168"/>
      <c r="AH152" s="168"/>
      <c r="AI152" s="168"/>
      <c r="AJ152" s="168"/>
      <c r="AK152" s="168"/>
      <c r="AL152" s="168"/>
      <c r="AM152" s="168"/>
      <c r="AN152" s="168"/>
      <c r="AO152" s="168"/>
      <c r="AP152" s="168"/>
      <c r="AQ152" s="168"/>
      <c r="AR152" s="168"/>
      <c r="AS152" s="168"/>
      <c r="AT152" s="168"/>
      <c r="AU152" s="168"/>
      <c r="AV152" s="168"/>
      <c r="AW152" s="168"/>
      <c r="AX152" s="168"/>
      <c r="AY152" s="168"/>
    </row>
    <row r="153" spans="1:51" s="40" customFormat="1" x14ac:dyDescent="0.3">
      <c r="A153" s="168"/>
      <c r="K153" s="168"/>
      <c r="Y153" s="44"/>
      <c r="AC153" s="168"/>
      <c r="AG153" s="168"/>
      <c r="AH153" s="168"/>
      <c r="AI153" s="168"/>
      <c r="AJ153" s="168"/>
      <c r="AK153" s="168"/>
      <c r="AL153" s="168"/>
      <c r="AM153" s="168"/>
      <c r="AN153" s="168"/>
      <c r="AO153" s="168"/>
      <c r="AP153" s="168"/>
      <c r="AQ153" s="168"/>
      <c r="AR153" s="168"/>
      <c r="AS153" s="168"/>
      <c r="AT153" s="168"/>
      <c r="AU153" s="168"/>
      <c r="AV153" s="168"/>
      <c r="AW153" s="168"/>
      <c r="AX153" s="168"/>
      <c r="AY153" s="168"/>
    </row>
    <row r="154" spans="1:51" s="40" customFormat="1" x14ac:dyDescent="0.3">
      <c r="A154" s="168"/>
      <c r="K154" s="168"/>
      <c r="Y154" s="44"/>
      <c r="AC154" s="168"/>
      <c r="AG154" s="168"/>
      <c r="AH154" s="168"/>
      <c r="AI154" s="168"/>
      <c r="AJ154" s="168"/>
      <c r="AK154" s="168"/>
      <c r="AL154" s="168"/>
      <c r="AM154" s="168"/>
      <c r="AN154" s="168"/>
      <c r="AO154" s="168"/>
      <c r="AP154" s="168"/>
      <c r="AQ154" s="168"/>
      <c r="AR154" s="168"/>
      <c r="AS154" s="168"/>
      <c r="AT154" s="168"/>
      <c r="AU154" s="168"/>
      <c r="AV154" s="168"/>
      <c r="AW154" s="168"/>
      <c r="AX154" s="168"/>
      <c r="AY154" s="168"/>
    </row>
    <row r="155" spans="1:51" s="40" customFormat="1" x14ac:dyDescent="0.3">
      <c r="A155" s="168"/>
      <c r="K155" s="168"/>
      <c r="Y155" s="44"/>
      <c r="AC155" s="168"/>
      <c r="AG155" s="168"/>
      <c r="AH155" s="168"/>
      <c r="AI155" s="168"/>
      <c r="AJ155" s="168"/>
      <c r="AK155" s="168"/>
      <c r="AL155" s="168"/>
      <c r="AM155" s="168"/>
      <c r="AN155" s="168"/>
      <c r="AO155" s="168"/>
      <c r="AP155" s="168"/>
      <c r="AQ155" s="168"/>
      <c r="AR155" s="168"/>
      <c r="AS155" s="168"/>
      <c r="AT155" s="168"/>
      <c r="AU155" s="168"/>
      <c r="AV155" s="168"/>
      <c r="AW155" s="168"/>
      <c r="AX155" s="168"/>
      <c r="AY155" s="168"/>
    </row>
    <row r="156" spans="1:51" s="40" customFormat="1" x14ac:dyDescent="0.3">
      <c r="A156" s="168"/>
      <c r="K156" s="168"/>
      <c r="Y156" s="44"/>
      <c r="AC156" s="168"/>
      <c r="AG156" s="168"/>
      <c r="AH156" s="168"/>
      <c r="AI156" s="168"/>
      <c r="AJ156" s="168"/>
      <c r="AK156" s="168"/>
      <c r="AL156" s="168"/>
      <c r="AM156" s="168"/>
      <c r="AN156" s="168"/>
      <c r="AO156" s="168"/>
      <c r="AP156" s="168"/>
      <c r="AQ156" s="168"/>
      <c r="AR156" s="168"/>
      <c r="AS156" s="168"/>
      <c r="AT156" s="168"/>
      <c r="AU156" s="168"/>
      <c r="AV156" s="168"/>
      <c r="AW156" s="168"/>
      <c r="AX156" s="168"/>
      <c r="AY156" s="168"/>
    </row>
    <row r="157" spans="1:51" s="40" customFormat="1" x14ac:dyDescent="0.3">
      <c r="A157" s="168"/>
      <c r="K157" s="168"/>
      <c r="Y157" s="44"/>
      <c r="AC157" s="168"/>
      <c r="AG157" s="168"/>
      <c r="AH157" s="168"/>
      <c r="AI157" s="168"/>
      <c r="AJ157" s="168"/>
      <c r="AK157" s="168"/>
      <c r="AL157" s="168"/>
      <c r="AM157" s="168"/>
      <c r="AN157" s="168"/>
      <c r="AO157" s="168"/>
      <c r="AP157" s="168"/>
      <c r="AQ157" s="168"/>
      <c r="AR157" s="168"/>
      <c r="AS157" s="168"/>
      <c r="AT157" s="168"/>
      <c r="AU157" s="168"/>
      <c r="AV157" s="168"/>
      <c r="AW157" s="168"/>
      <c r="AX157" s="168"/>
      <c r="AY157" s="168"/>
    </row>
    <row r="158" spans="1:51" s="40" customFormat="1" x14ac:dyDescent="0.3">
      <c r="A158" s="168"/>
      <c r="K158" s="168"/>
      <c r="Y158" s="44"/>
      <c r="AC158" s="168"/>
      <c r="AG158" s="168"/>
      <c r="AH158" s="168"/>
      <c r="AI158" s="168"/>
      <c r="AJ158" s="168"/>
      <c r="AK158" s="168"/>
      <c r="AL158" s="168"/>
      <c r="AM158" s="168"/>
      <c r="AN158" s="168"/>
      <c r="AO158" s="168"/>
      <c r="AP158" s="168"/>
      <c r="AQ158" s="168"/>
      <c r="AR158" s="168"/>
      <c r="AS158" s="168"/>
      <c r="AT158" s="168"/>
      <c r="AU158" s="168"/>
      <c r="AV158" s="168"/>
      <c r="AW158" s="168"/>
      <c r="AX158" s="168"/>
      <c r="AY158" s="168"/>
    </row>
    <row r="159" spans="1:51" s="40" customFormat="1" x14ac:dyDescent="0.3">
      <c r="A159" s="168"/>
      <c r="K159" s="168"/>
      <c r="Y159" s="44"/>
      <c r="AC159" s="168"/>
      <c r="AG159" s="168"/>
      <c r="AH159" s="168"/>
      <c r="AI159" s="168"/>
      <c r="AJ159" s="168"/>
      <c r="AK159" s="168"/>
      <c r="AL159" s="168"/>
      <c r="AM159" s="168"/>
      <c r="AN159" s="168"/>
      <c r="AO159" s="168"/>
      <c r="AP159" s="168"/>
      <c r="AQ159" s="168"/>
      <c r="AR159" s="168"/>
      <c r="AS159" s="168"/>
      <c r="AT159" s="168"/>
      <c r="AU159" s="168"/>
      <c r="AV159" s="168"/>
      <c r="AW159" s="168"/>
      <c r="AX159" s="168"/>
      <c r="AY159" s="168"/>
    </row>
    <row r="160" spans="1:51" s="40" customFormat="1" x14ac:dyDescent="0.3">
      <c r="A160" s="168"/>
      <c r="K160" s="168"/>
      <c r="Y160" s="44"/>
      <c r="AC160" s="168"/>
      <c r="AG160" s="168"/>
      <c r="AH160" s="168"/>
      <c r="AI160" s="168"/>
      <c r="AJ160" s="168"/>
      <c r="AK160" s="168"/>
      <c r="AL160" s="168"/>
      <c r="AM160" s="168"/>
      <c r="AN160" s="168"/>
      <c r="AO160" s="168"/>
      <c r="AP160" s="168"/>
      <c r="AQ160" s="168"/>
      <c r="AR160" s="168"/>
      <c r="AS160" s="168"/>
      <c r="AT160" s="168"/>
      <c r="AU160" s="168"/>
      <c r="AV160" s="168"/>
      <c r="AW160" s="168"/>
      <c r="AX160" s="168"/>
      <c r="AY160" s="168"/>
    </row>
    <row r="161" spans="1:51" s="40" customFormat="1" x14ac:dyDescent="0.3">
      <c r="A161" s="168"/>
      <c r="K161" s="168"/>
      <c r="Y161" s="44"/>
      <c r="AC161" s="168"/>
      <c r="AG161" s="168"/>
      <c r="AH161" s="168"/>
      <c r="AI161" s="168"/>
      <c r="AJ161" s="168"/>
      <c r="AK161" s="168"/>
      <c r="AL161" s="168"/>
      <c r="AM161" s="168"/>
      <c r="AN161" s="168"/>
      <c r="AO161" s="168"/>
      <c r="AP161" s="168"/>
      <c r="AQ161" s="168"/>
      <c r="AR161" s="168"/>
      <c r="AS161" s="168"/>
      <c r="AT161" s="168"/>
      <c r="AU161" s="168"/>
      <c r="AV161" s="168"/>
      <c r="AW161" s="168"/>
      <c r="AX161" s="168"/>
      <c r="AY161" s="168"/>
    </row>
    <row r="162" spans="1:51" s="40" customFormat="1" x14ac:dyDescent="0.3">
      <c r="A162" s="168"/>
      <c r="K162" s="168"/>
      <c r="Y162" s="44"/>
      <c r="AC162" s="168"/>
      <c r="AG162" s="168"/>
      <c r="AH162" s="168"/>
      <c r="AI162" s="168"/>
      <c r="AJ162" s="168"/>
      <c r="AK162" s="168"/>
      <c r="AL162" s="168"/>
      <c r="AM162" s="168"/>
      <c r="AN162" s="168"/>
      <c r="AO162" s="168"/>
      <c r="AP162" s="168"/>
      <c r="AQ162" s="168"/>
      <c r="AR162" s="168"/>
      <c r="AS162" s="168"/>
      <c r="AT162" s="168"/>
      <c r="AU162" s="168"/>
      <c r="AV162" s="168"/>
      <c r="AW162" s="168"/>
      <c r="AX162" s="168"/>
      <c r="AY162" s="168"/>
    </row>
    <row r="163" spans="1:51" s="40" customFormat="1" x14ac:dyDescent="0.3">
      <c r="A163" s="168"/>
      <c r="K163" s="168"/>
      <c r="Y163" s="44"/>
      <c r="AC163" s="168"/>
      <c r="AG163" s="168"/>
      <c r="AH163" s="168"/>
      <c r="AI163" s="168"/>
      <c r="AJ163" s="168"/>
      <c r="AK163" s="168"/>
      <c r="AL163" s="168"/>
      <c r="AM163" s="168"/>
      <c r="AN163" s="168"/>
      <c r="AO163" s="168"/>
      <c r="AP163" s="168"/>
      <c r="AQ163" s="168"/>
      <c r="AR163" s="168"/>
      <c r="AS163" s="168"/>
      <c r="AT163" s="168"/>
      <c r="AU163" s="168"/>
      <c r="AV163" s="168"/>
      <c r="AW163" s="168"/>
      <c r="AX163" s="168"/>
      <c r="AY163" s="168"/>
    </row>
    <row r="164" spans="1:51" s="40" customFormat="1" x14ac:dyDescent="0.3">
      <c r="A164" s="168"/>
      <c r="K164" s="168"/>
      <c r="Y164" s="44"/>
      <c r="AC164" s="168"/>
      <c r="AG164" s="168"/>
      <c r="AH164" s="168"/>
      <c r="AI164" s="168"/>
      <c r="AJ164" s="168"/>
      <c r="AK164" s="168"/>
      <c r="AL164" s="168"/>
      <c r="AM164" s="168"/>
      <c r="AN164" s="168"/>
      <c r="AO164" s="168"/>
      <c r="AP164" s="168"/>
      <c r="AQ164" s="168"/>
      <c r="AR164" s="168"/>
      <c r="AS164" s="168"/>
      <c r="AT164" s="168"/>
      <c r="AU164" s="168"/>
      <c r="AV164" s="168"/>
      <c r="AW164" s="168"/>
      <c r="AX164" s="168"/>
      <c r="AY164" s="168"/>
    </row>
    <row r="165" spans="1:51" s="40" customFormat="1" x14ac:dyDescent="0.3">
      <c r="A165" s="168"/>
      <c r="K165" s="168"/>
      <c r="Y165" s="44"/>
      <c r="AC165" s="168"/>
      <c r="AG165" s="168"/>
      <c r="AH165" s="168"/>
      <c r="AI165" s="168"/>
      <c r="AJ165" s="168"/>
      <c r="AK165" s="168"/>
      <c r="AL165" s="168"/>
      <c r="AM165" s="168"/>
      <c r="AN165" s="168"/>
      <c r="AO165" s="168"/>
      <c r="AP165" s="168"/>
      <c r="AQ165" s="168"/>
      <c r="AR165" s="168"/>
      <c r="AS165" s="168"/>
      <c r="AT165" s="168"/>
      <c r="AU165" s="168"/>
      <c r="AV165" s="168"/>
      <c r="AW165" s="168"/>
      <c r="AX165" s="168"/>
      <c r="AY165" s="168"/>
    </row>
    <row r="166" spans="1:51" s="40" customFormat="1" x14ac:dyDescent="0.3">
      <c r="A166" s="168"/>
      <c r="K166" s="168"/>
      <c r="Y166" s="44"/>
      <c r="AC166" s="168"/>
      <c r="AG166" s="168"/>
      <c r="AH166" s="168"/>
      <c r="AI166" s="168"/>
      <c r="AJ166" s="168"/>
      <c r="AK166" s="168"/>
      <c r="AL166" s="168"/>
      <c r="AM166" s="168"/>
      <c r="AN166" s="168"/>
      <c r="AO166" s="168"/>
      <c r="AP166" s="168"/>
      <c r="AQ166" s="168"/>
      <c r="AR166" s="168"/>
      <c r="AS166" s="168"/>
      <c r="AT166" s="168"/>
      <c r="AU166" s="168"/>
      <c r="AV166" s="168"/>
      <c r="AW166" s="168"/>
      <c r="AX166" s="168"/>
      <c r="AY166" s="168"/>
    </row>
    <row r="167" spans="1:51" s="40" customFormat="1" x14ac:dyDescent="0.3">
      <c r="A167" s="168"/>
      <c r="K167" s="168"/>
      <c r="Y167" s="44"/>
      <c r="AC167" s="168"/>
      <c r="AG167" s="168"/>
      <c r="AH167" s="168"/>
      <c r="AI167" s="168"/>
      <c r="AJ167" s="168"/>
      <c r="AK167" s="168"/>
      <c r="AL167" s="168"/>
      <c r="AM167" s="168"/>
      <c r="AN167" s="168"/>
      <c r="AO167" s="168"/>
      <c r="AP167" s="168"/>
      <c r="AQ167" s="168"/>
      <c r="AR167" s="168"/>
      <c r="AS167" s="168"/>
      <c r="AT167" s="168"/>
      <c r="AU167" s="168"/>
      <c r="AV167" s="168"/>
      <c r="AW167" s="168"/>
      <c r="AX167" s="168"/>
      <c r="AY167" s="168"/>
    </row>
    <row r="168" spans="1:51" s="40" customFormat="1" x14ac:dyDescent="0.3">
      <c r="A168" s="168"/>
      <c r="K168" s="168"/>
      <c r="Y168" s="44"/>
      <c r="AC168" s="168"/>
      <c r="AG168" s="168"/>
      <c r="AH168" s="168"/>
      <c r="AI168" s="168"/>
      <c r="AJ168" s="168"/>
      <c r="AK168" s="168"/>
      <c r="AL168" s="168"/>
      <c r="AM168" s="168"/>
      <c r="AN168" s="168"/>
      <c r="AO168" s="168"/>
      <c r="AP168" s="168"/>
      <c r="AQ168" s="168"/>
      <c r="AR168" s="168"/>
      <c r="AS168" s="168"/>
      <c r="AT168" s="168"/>
      <c r="AU168" s="168"/>
      <c r="AV168" s="168"/>
      <c r="AW168" s="168"/>
      <c r="AX168" s="168"/>
      <c r="AY168" s="168"/>
    </row>
    <row r="169" spans="1:51" s="40" customFormat="1" x14ac:dyDescent="0.3">
      <c r="A169" s="168"/>
      <c r="K169" s="168"/>
      <c r="Y169" s="44"/>
      <c r="AC169" s="168"/>
      <c r="AG169" s="168"/>
      <c r="AH169" s="168"/>
      <c r="AI169" s="168"/>
      <c r="AJ169" s="168"/>
      <c r="AK169" s="168"/>
      <c r="AL169" s="168"/>
      <c r="AM169" s="168"/>
      <c r="AN169" s="168"/>
      <c r="AO169" s="168"/>
      <c r="AP169" s="168"/>
      <c r="AQ169" s="168"/>
      <c r="AR169" s="168"/>
      <c r="AS169" s="168"/>
      <c r="AT169" s="168"/>
      <c r="AU169" s="168"/>
      <c r="AV169" s="168"/>
      <c r="AW169" s="168"/>
      <c r="AX169" s="168"/>
      <c r="AY169" s="168"/>
    </row>
    <row r="170" spans="1:51" s="40" customFormat="1" x14ac:dyDescent="0.3">
      <c r="A170" s="168"/>
      <c r="K170" s="168"/>
      <c r="Y170" s="44"/>
      <c r="AC170" s="168"/>
      <c r="AG170" s="168"/>
      <c r="AH170" s="168"/>
      <c r="AI170" s="168"/>
      <c r="AJ170" s="168"/>
      <c r="AK170" s="168"/>
      <c r="AL170" s="168"/>
      <c r="AM170" s="168"/>
      <c r="AN170" s="168"/>
      <c r="AO170" s="168"/>
      <c r="AP170" s="168"/>
      <c r="AQ170" s="168"/>
      <c r="AR170" s="168"/>
      <c r="AS170" s="168"/>
      <c r="AT170" s="168"/>
      <c r="AU170" s="168"/>
      <c r="AV170" s="168"/>
      <c r="AW170" s="168"/>
      <c r="AX170" s="168"/>
      <c r="AY170" s="168"/>
    </row>
    <row r="171" spans="1:51" s="40" customFormat="1" x14ac:dyDescent="0.3">
      <c r="A171" s="168"/>
      <c r="K171" s="168"/>
      <c r="Y171" s="44"/>
      <c r="AC171" s="168"/>
      <c r="AG171" s="168"/>
      <c r="AH171" s="168"/>
      <c r="AI171" s="168"/>
      <c r="AJ171" s="168"/>
      <c r="AK171" s="168"/>
      <c r="AL171" s="168"/>
      <c r="AM171" s="168"/>
      <c r="AN171" s="168"/>
      <c r="AO171" s="168"/>
      <c r="AP171" s="168"/>
      <c r="AQ171" s="168"/>
      <c r="AR171" s="168"/>
      <c r="AS171" s="168"/>
      <c r="AT171" s="168"/>
      <c r="AU171" s="168"/>
      <c r="AV171" s="168"/>
      <c r="AW171" s="168"/>
      <c r="AX171" s="168"/>
      <c r="AY171" s="168"/>
    </row>
    <row r="172" spans="1:51" s="40" customFormat="1" x14ac:dyDescent="0.3">
      <c r="A172" s="168"/>
      <c r="K172" s="168"/>
      <c r="Y172" s="44"/>
      <c r="AC172" s="168"/>
      <c r="AG172" s="168"/>
      <c r="AH172" s="168"/>
      <c r="AI172" s="168"/>
      <c r="AJ172" s="168"/>
      <c r="AK172" s="168"/>
      <c r="AL172" s="168"/>
      <c r="AM172" s="168"/>
      <c r="AN172" s="168"/>
      <c r="AO172" s="168"/>
      <c r="AP172" s="168"/>
      <c r="AQ172" s="168"/>
      <c r="AR172" s="168"/>
      <c r="AS172" s="168"/>
      <c r="AT172" s="168"/>
      <c r="AU172" s="168"/>
      <c r="AV172" s="168"/>
      <c r="AW172" s="168"/>
      <c r="AX172" s="168"/>
      <c r="AY172" s="168"/>
    </row>
    <row r="173" spans="1:51" s="40" customFormat="1" x14ac:dyDescent="0.3">
      <c r="A173" s="168"/>
      <c r="K173" s="168"/>
      <c r="Y173" s="44"/>
      <c r="AC173" s="168"/>
      <c r="AG173" s="168"/>
      <c r="AH173" s="168"/>
      <c r="AI173" s="168"/>
      <c r="AJ173" s="168"/>
      <c r="AK173" s="168"/>
      <c r="AL173" s="168"/>
      <c r="AM173" s="168"/>
      <c r="AN173" s="168"/>
      <c r="AO173" s="168"/>
      <c r="AP173" s="168"/>
      <c r="AQ173" s="168"/>
      <c r="AR173" s="168"/>
      <c r="AS173" s="168"/>
      <c r="AT173" s="168"/>
      <c r="AU173" s="168"/>
      <c r="AV173" s="168"/>
      <c r="AW173" s="168"/>
      <c r="AX173" s="168"/>
      <c r="AY173" s="168"/>
    </row>
    <row r="174" spans="1:51" s="40" customFormat="1" x14ac:dyDescent="0.3">
      <c r="A174" s="168"/>
      <c r="K174" s="168"/>
      <c r="Y174" s="44"/>
      <c r="AC174" s="168"/>
      <c r="AG174" s="168"/>
      <c r="AH174" s="168"/>
      <c r="AI174" s="168"/>
      <c r="AJ174" s="168"/>
      <c r="AK174" s="168"/>
      <c r="AL174" s="168"/>
      <c r="AM174" s="168"/>
      <c r="AN174" s="168"/>
      <c r="AO174" s="168"/>
      <c r="AP174" s="168"/>
      <c r="AQ174" s="168"/>
      <c r="AR174" s="168"/>
      <c r="AS174" s="168"/>
      <c r="AT174" s="168"/>
      <c r="AU174" s="168"/>
      <c r="AV174" s="168"/>
      <c r="AW174" s="168"/>
      <c r="AX174" s="168"/>
      <c r="AY174" s="168"/>
    </row>
    <row r="175" spans="1:51" s="40" customFormat="1" x14ac:dyDescent="0.3">
      <c r="A175" s="168"/>
      <c r="K175" s="168"/>
      <c r="Y175" s="44"/>
      <c r="AC175" s="168"/>
      <c r="AG175" s="168"/>
      <c r="AH175" s="168"/>
      <c r="AI175" s="168"/>
      <c r="AJ175" s="168"/>
      <c r="AK175" s="168"/>
      <c r="AL175" s="168"/>
      <c r="AM175" s="168"/>
      <c r="AN175" s="168"/>
      <c r="AO175" s="168"/>
      <c r="AP175" s="168"/>
      <c r="AQ175" s="168"/>
      <c r="AR175" s="168"/>
      <c r="AS175" s="168"/>
      <c r="AT175" s="168"/>
      <c r="AU175" s="168"/>
      <c r="AV175" s="168"/>
      <c r="AW175" s="168"/>
      <c r="AX175" s="168"/>
      <c r="AY175" s="168"/>
    </row>
    <row r="176" spans="1:51" s="40" customFormat="1" x14ac:dyDescent="0.3">
      <c r="A176" s="168"/>
      <c r="K176" s="168"/>
      <c r="Y176" s="44"/>
      <c r="AC176" s="168"/>
      <c r="AG176" s="168"/>
      <c r="AH176" s="168"/>
      <c r="AI176" s="168"/>
      <c r="AJ176" s="168"/>
      <c r="AK176" s="168"/>
      <c r="AL176" s="168"/>
      <c r="AM176" s="168"/>
      <c r="AN176" s="168"/>
      <c r="AO176" s="168"/>
      <c r="AP176" s="168"/>
      <c r="AQ176" s="168"/>
      <c r="AR176" s="168"/>
      <c r="AS176" s="168"/>
      <c r="AT176" s="168"/>
      <c r="AU176" s="168"/>
      <c r="AV176" s="168"/>
      <c r="AW176" s="168"/>
      <c r="AX176" s="168"/>
      <c r="AY176" s="168"/>
    </row>
    <row r="177" spans="1:51" s="40" customFormat="1" x14ac:dyDescent="0.3">
      <c r="A177" s="168"/>
      <c r="K177" s="168"/>
      <c r="Y177" s="44"/>
      <c r="AC177" s="168"/>
      <c r="AG177" s="168"/>
      <c r="AH177" s="168"/>
      <c r="AI177" s="168"/>
      <c r="AJ177" s="168"/>
      <c r="AK177" s="168"/>
      <c r="AL177" s="168"/>
      <c r="AM177" s="168"/>
      <c r="AN177" s="168"/>
      <c r="AO177" s="168"/>
      <c r="AP177" s="168"/>
      <c r="AQ177" s="168"/>
      <c r="AR177" s="168"/>
      <c r="AS177" s="168"/>
      <c r="AT177" s="168"/>
      <c r="AU177" s="168"/>
      <c r="AV177" s="168"/>
      <c r="AW177" s="168"/>
      <c r="AX177" s="168"/>
      <c r="AY177" s="168"/>
    </row>
    <row r="178" spans="1:51" s="40" customFormat="1" x14ac:dyDescent="0.3">
      <c r="A178" s="168"/>
      <c r="K178" s="168"/>
      <c r="Y178" s="44"/>
      <c r="AC178" s="168"/>
      <c r="AG178" s="168"/>
      <c r="AH178" s="168"/>
      <c r="AI178" s="168"/>
      <c r="AJ178" s="168"/>
      <c r="AK178" s="168"/>
      <c r="AL178" s="168"/>
      <c r="AM178" s="168"/>
      <c r="AN178" s="168"/>
      <c r="AO178" s="168"/>
      <c r="AP178" s="168"/>
      <c r="AQ178" s="168"/>
      <c r="AR178" s="168"/>
      <c r="AS178" s="168"/>
      <c r="AT178" s="168"/>
      <c r="AU178" s="168"/>
      <c r="AV178" s="168"/>
      <c r="AW178" s="168"/>
      <c r="AX178" s="168"/>
      <c r="AY178" s="168"/>
    </row>
    <row r="179" spans="1:51" s="40" customFormat="1" x14ac:dyDescent="0.3">
      <c r="A179" s="168"/>
      <c r="K179" s="168"/>
      <c r="Y179" s="44"/>
      <c r="AC179" s="168"/>
      <c r="AG179" s="168"/>
      <c r="AH179" s="168"/>
      <c r="AI179" s="168"/>
      <c r="AJ179" s="168"/>
      <c r="AK179" s="168"/>
      <c r="AL179" s="168"/>
      <c r="AM179" s="168"/>
      <c r="AN179" s="168"/>
      <c r="AO179" s="168"/>
      <c r="AP179" s="168"/>
      <c r="AQ179" s="168"/>
      <c r="AR179" s="168"/>
      <c r="AS179" s="168"/>
      <c r="AT179" s="168"/>
      <c r="AU179" s="168"/>
      <c r="AV179" s="168"/>
      <c r="AW179" s="168"/>
      <c r="AX179" s="168"/>
      <c r="AY179" s="168"/>
    </row>
    <row r="180" spans="1:51" s="40" customFormat="1" x14ac:dyDescent="0.3">
      <c r="A180" s="168"/>
      <c r="K180" s="168"/>
      <c r="Y180" s="44"/>
      <c r="AC180" s="168"/>
      <c r="AG180" s="168"/>
      <c r="AH180" s="168"/>
      <c r="AI180" s="168"/>
      <c r="AJ180" s="168"/>
      <c r="AK180" s="168"/>
      <c r="AL180" s="168"/>
      <c r="AM180" s="168"/>
      <c r="AN180" s="168"/>
      <c r="AO180" s="168"/>
      <c r="AP180" s="168"/>
      <c r="AQ180" s="168"/>
      <c r="AR180" s="168"/>
      <c r="AS180" s="168"/>
      <c r="AT180" s="168"/>
      <c r="AU180" s="168"/>
      <c r="AV180" s="168"/>
      <c r="AW180" s="168"/>
      <c r="AX180" s="168"/>
      <c r="AY180" s="168"/>
    </row>
    <row r="181" spans="1:51" s="40" customFormat="1" x14ac:dyDescent="0.3">
      <c r="A181" s="168"/>
      <c r="K181" s="168"/>
      <c r="Y181" s="44"/>
      <c r="AC181" s="168"/>
      <c r="AG181" s="168"/>
      <c r="AH181" s="168"/>
      <c r="AI181" s="168"/>
      <c r="AJ181" s="168"/>
      <c r="AK181" s="168"/>
      <c r="AL181" s="168"/>
      <c r="AM181" s="168"/>
      <c r="AN181" s="168"/>
      <c r="AO181" s="168"/>
      <c r="AP181" s="168"/>
      <c r="AQ181" s="168"/>
      <c r="AR181" s="168"/>
      <c r="AS181" s="168"/>
      <c r="AT181" s="168"/>
      <c r="AU181" s="168"/>
      <c r="AV181" s="168"/>
      <c r="AW181" s="168"/>
      <c r="AX181" s="168"/>
      <c r="AY181" s="168"/>
    </row>
    <row r="182" spans="1:51" s="40" customFormat="1" x14ac:dyDescent="0.3">
      <c r="A182" s="168"/>
      <c r="K182" s="168"/>
      <c r="Y182" s="44"/>
      <c r="AC182" s="168"/>
      <c r="AG182" s="168"/>
      <c r="AH182" s="168"/>
      <c r="AI182" s="168"/>
      <c r="AJ182" s="168"/>
      <c r="AK182" s="168"/>
      <c r="AL182" s="168"/>
      <c r="AM182" s="168"/>
      <c r="AN182" s="168"/>
      <c r="AO182" s="168"/>
      <c r="AP182" s="168"/>
      <c r="AQ182" s="168"/>
      <c r="AR182" s="168"/>
      <c r="AS182" s="168"/>
      <c r="AT182" s="168"/>
      <c r="AU182" s="168"/>
      <c r="AV182" s="168"/>
      <c r="AW182" s="168"/>
      <c r="AX182" s="168"/>
      <c r="AY182" s="168"/>
    </row>
    <row r="183" spans="1:51" s="40" customFormat="1" x14ac:dyDescent="0.3">
      <c r="A183" s="168"/>
      <c r="K183" s="168"/>
      <c r="Y183" s="44"/>
      <c r="AC183" s="168"/>
      <c r="AG183" s="168"/>
      <c r="AH183" s="168"/>
      <c r="AI183" s="168"/>
      <c r="AJ183" s="168"/>
      <c r="AK183" s="168"/>
      <c r="AL183" s="168"/>
      <c r="AM183" s="168"/>
      <c r="AN183" s="168"/>
      <c r="AO183" s="168"/>
      <c r="AP183" s="168"/>
      <c r="AQ183" s="168"/>
      <c r="AR183" s="168"/>
      <c r="AS183" s="168"/>
      <c r="AT183" s="168"/>
      <c r="AU183" s="168"/>
      <c r="AV183" s="168"/>
      <c r="AW183" s="168"/>
      <c r="AX183" s="168"/>
      <c r="AY183" s="168"/>
    </row>
    <row r="184" spans="1:51" s="40" customFormat="1" x14ac:dyDescent="0.3">
      <c r="A184" s="168"/>
      <c r="K184" s="168"/>
      <c r="Y184" s="44"/>
      <c r="AC184" s="168"/>
      <c r="AG184" s="168"/>
      <c r="AH184" s="168"/>
      <c r="AI184" s="168"/>
      <c r="AJ184" s="168"/>
      <c r="AK184" s="168"/>
      <c r="AL184" s="168"/>
      <c r="AM184" s="168"/>
      <c r="AN184" s="168"/>
      <c r="AO184" s="168"/>
      <c r="AP184" s="168"/>
      <c r="AQ184" s="168"/>
      <c r="AR184" s="168"/>
      <c r="AS184" s="168"/>
      <c r="AT184" s="168"/>
      <c r="AU184" s="168"/>
      <c r="AV184" s="168"/>
      <c r="AW184" s="168"/>
      <c r="AX184" s="168"/>
      <c r="AY184" s="168"/>
    </row>
    <row r="185" spans="1:51" s="40" customFormat="1" x14ac:dyDescent="0.3">
      <c r="A185" s="168"/>
      <c r="K185" s="168"/>
      <c r="Y185" s="44"/>
      <c r="AC185" s="168"/>
      <c r="AG185" s="168"/>
      <c r="AH185" s="168"/>
      <c r="AI185" s="168"/>
      <c r="AJ185" s="168"/>
      <c r="AK185" s="168"/>
      <c r="AL185" s="168"/>
      <c r="AM185" s="168"/>
      <c r="AN185" s="168"/>
      <c r="AO185" s="168"/>
      <c r="AP185" s="168"/>
      <c r="AQ185" s="168"/>
      <c r="AR185" s="168"/>
      <c r="AS185" s="168"/>
      <c r="AT185" s="168"/>
      <c r="AU185" s="168"/>
      <c r="AV185" s="168"/>
      <c r="AW185" s="168"/>
      <c r="AX185" s="168"/>
      <c r="AY185" s="168"/>
    </row>
    <row r="186" spans="1:51" s="40" customFormat="1" x14ac:dyDescent="0.3">
      <c r="A186" s="168"/>
      <c r="K186" s="168"/>
      <c r="Y186" s="44"/>
      <c r="AC186" s="168"/>
      <c r="AG186" s="168"/>
      <c r="AH186" s="168"/>
      <c r="AI186" s="168"/>
      <c r="AJ186" s="168"/>
      <c r="AK186" s="168"/>
      <c r="AL186" s="168"/>
      <c r="AM186" s="168"/>
      <c r="AN186" s="168"/>
      <c r="AO186" s="168"/>
      <c r="AP186" s="168"/>
      <c r="AQ186" s="168"/>
      <c r="AR186" s="168"/>
      <c r="AS186" s="168"/>
      <c r="AT186" s="168"/>
      <c r="AU186" s="168"/>
      <c r="AV186" s="168"/>
      <c r="AW186" s="168"/>
      <c r="AX186" s="168"/>
      <c r="AY186" s="168"/>
    </row>
    <row r="187" spans="1:51" s="40" customFormat="1" x14ac:dyDescent="0.3">
      <c r="A187" s="168"/>
      <c r="K187" s="168"/>
      <c r="Y187" s="44"/>
      <c r="AC187" s="168"/>
      <c r="AG187" s="168"/>
      <c r="AH187" s="168"/>
      <c r="AI187" s="168"/>
      <c r="AJ187" s="168"/>
      <c r="AK187" s="168"/>
      <c r="AL187" s="168"/>
      <c r="AM187" s="168"/>
      <c r="AN187" s="168"/>
      <c r="AO187" s="168"/>
      <c r="AP187" s="168"/>
      <c r="AQ187" s="168"/>
      <c r="AR187" s="168"/>
      <c r="AS187" s="168"/>
      <c r="AT187" s="168"/>
      <c r="AU187" s="168"/>
      <c r="AV187" s="168"/>
      <c r="AW187" s="168"/>
      <c r="AX187" s="168"/>
      <c r="AY187" s="168"/>
    </row>
    <row r="188" spans="1:51" s="40" customFormat="1" x14ac:dyDescent="0.3">
      <c r="A188" s="168"/>
      <c r="K188" s="168"/>
      <c r="Y188" s="44"/>
      <c r="AC188" s="168"/>
      <c r="AG188" s="168"/>
      <c r="AH188" s="168"/>
      <c r="AI188" s="168"/>
      <c r="AJ188" s="168"/>
      <c r="AK188" s="168"/>
      <c r="AL188" s="168"/>
      <c r="AM188" s="168"/>
      <c r="AN188" s="168"/>
      <c r="AO188" s="168"/>
      <c r="AP188" s="168"/>
      <c r="AQ188" s="168"/>
      <c r="AR188" s="168"/>
      <c r="AS188" s="168"/>
      <c r="AT188" s="168"/>
      <c r="AU188" s="168"/>
      <c r="AV188" s="168"/>
      <c r="AW188" s="168"/>
      <c r="AX188" s="168"/>
      <c r="AY188" s="168"/>
    </row>
    <row r="189" spans="1:51" s="40" customFormat="1" x14ac:dyDescent="0.3">
      <c r="A189" s="168"/>
      <c r="K189" s="168"/>
      <c r="Y189" s="44"/>
      <c r="AC189" s="168"/>
      <c r="AG189" s="168"/>
      <c r="AH189" s="168"/>
      <c r="AI189" s="168"/>
      <c r="AJ189" s="168"/>
      <c r="AK189" s="168"/>
      <c r="AL189" s="168"/>
      <c r="AM189" s="168"/>
      <c r="AN189" s="168"/>
      <c r="AO189" s="168"/>
      <c r="AP189" s="168"/>
      <c r="AQ189" s="168"/>
      <c r="AR189" s="168"/>
      <c r="AS189" s="168"/>
      <c r="AT189" s="168"/>
      <c r="AU189" s="168"/>
      <c r="AV189" s="168"/>
      <c r="AW189" s="168"/>
      <c r="AX189" s="168"/>
      <c r="AY189" s="168"/>
    </row>
    <row r="190" spans="1:51" s="40" customFormat="1" x14ac:dyDescent="0.3">
      <c r="A190" s="168"/>
      <c r="K190" s="168"/>
      <c r="Y190" s="44"/>
      <c r="AC190" s="168"/>
      <c r="AG190" s="168"/>
      <c r="AH190" s="168"/>
      <c r="AI190" s="168"/>
      <c r="AJ190" s="168"/>
      <c r="AK190" s="168"/>
      <c r="AL190" s="168"/>
      <c r="AM190" s="168"/>
      <c r="AN190" s="168"/>
      <c r="AO190" s="168"/>
      <c r="AP190" s="168"/>
      <c r="AQ190" s="168"/>
      <c r="AR190" s="168"/>
      <c r="AS190" s="168"/>
      <c r="AT190" s="168"/>
      <c r="AU190" s="168"/>
      <c r="AV190" s="168"/>
      <c r="AW190" s="168"/>
      <c r="AX190" s="168"/>
      <c r="AY190" s="168"/>
    </row>
    <row r="191" spans="1:51" s="40" customFormat="1" x14ac:dyDescent="0.3">
      <c r="A191" s="168"/>
      <c r="K191" s="168"/>
      <c r="Y191" s="44"/>
      <c r="AC191" s="168"/>
      <c r="AG191" s="168"/>
      <c r="AH191" s="168"/>
      <c r="AI191" s="168"/>
      <c r="AJ191" s="168"/>
      <c r="AK191" s="168"/>
      <c r="AL191" s="168"/>
      <c r="AM191" s="168"/>
      <c r="AN191" s="168"/>
      <c r="AO191" s="168"/>
      <c r="AP191" s="168"/>
      <c r="AQ191" s="168"/>
      <c r="AR191" s="168"/>
      <c r="AS191" s="168"/>
      <c r="AT191" s="168"/>
      <c r="AU191" s="168"/>
      <c r="AV191" s="168"/>
      <c r="AW191" s="168"/>
      <c r="AX191" s="168"/>
      <c r="AY191" s="168"/>
    </row>
    <row r="192" spans="1:51" s="40" customFormat="1" x14ac:dyDescent="0.3">
      <c r="A192" s="168"/>
      <c r="K192" s="168"/>
      <c r="Y192" s="44"/>
      <c r="AC192" s="168"/>
      <c r="AG192" s="168"/>
      <c r="AH192" s="168"/>
      <c r="AI192" s="168"/>
      <c r="AJ192" s="168"/>
      <c r="AK192" s="168"/>
      <c r="AL192" s="168"/>
      <c r="AM192" s="168"/>
      <c r="AN192" s="168"/>
      <c r="AO192" s="168"/>
      <c r="AP192" s="168"/>
      <c r="AQ192" s="168"/>
      <c r="AR192" s="168"/>
      <c r="AS192" s="168"/>
      <c r="AT192" s="168"/>
      <c r="AU192" s="168"/>
      <c r="AV192" s="168"/>
      <c r="AW192" s="168"/>
      <c r="AX192" s="168"/>
      <c r="AY192" s="168"/>
    </row>
    <row r="193" spans="1:51" s="40" customFormat="1" x14ac:dyDescent="0.3">
      <c r="A193" s="168"/>
      <c r="K193" s="168"/>
      <c r="Y193" s="44"/>
      <c r="AC193" s="168"/>
      <c r="AG193" s="168"/>
      <c r="AH193" s="168"/>
      <c r="AI193" s="168"/>
      <c r="AJ193" s="168"/>
      <c r="AK193" s="168"/>
      <c r="AL193" s="168"/>
      <c r="AM193" s="168"/>
      <c r="AN193" s="168"/>
      <c r="AO193" s="168"/>
      <c r="AP193" s="168"/>
      <c r="AQ193" s="168"/>
      <c r="AR193" s="168"/>
      <c r="AS193" s="168"/>
      <c r="AT193" s="168"/>
      <c r="AU193" s="168"/>
      <c r="AV193" s="168"/>
      <c r="AW193" s="168"/>
      <c r="AX193" s="168"/>
      <c r="AY193" s="168"/>
    </row>
    <row r="194" spans="1:51" s="40" customFormat="1" x14ac:dyDescent="0.3">
      <c r="A194" s="168"/>
      <c r="K194" s="168"/>
      <c r="Y194" s="44"/>
      <c r="AC194" s="168"/>
      <c r="AG194" s="168"/>
      <c r="AH194" s="168"/>
      <c r="AI194" s="168"/>
      <c r="AJ194" s="168"/>
      <c r="AK194" s="168"/>
      <c r="AL194" s="168"/>
      <c r="AM194" s="168"/>
      <c r="AN194" s="168"/>
      <c r="AO194" s="168"/>
      <c r="AP194" s="168"/>
      <c r="AQ194" s="168"/>
      <c r="AR194" s="168"/>
      <c r="AS194" s="168"/>
      <c r="AT194" s="168"/>
      <c r="AU194" s="168"/>
      <c r="AV194" s="168"/>
      <c r="AW194" s="168"/>
      <c r="AX194" s="168"/>
      <c r="AY194" s="168"/>
    </row>
    <row r="195" spans="1:51" s="40" customFormat="1" x14ac:dyDescent="0.3">
      <c r="A195" s="168"/>
      <c r="K195" s="168"/>
      <c r="Y195" s="44"/>
      <c r="AC195" s="168"/>
      <c r="AG195" s="168"/>
      <c r="AH195" s="168"/>
      <c r="AI195" s="168"/>
      <c r="AJ195" s="168"/>
      <c r="AK195" s="168"/>
      <c r="AL195" s="168"/>
      <c r="AM195" s="168"/>
      <c r="AN195" s="168"/>
      <c r="AO195" s="168"/>
      <c r="AP195" s="168"/>
      <c r="AQ195" s="168"/>
      <c r="AR195" s="168"/>
      <c r="AS195" s="168"/>
      <c r="AT195" s="168"/>
      <c r="AU195" s="168"/>
      <c r="AV195" s="168"/>
      <c r="AW195" s="168"/>
      <c r="AX195" s="168"/>
      <c r="AY195" s="168"/>
    </row>
    <row r="196" spans="1:51" s="40" customFormat="1" x14ac:dyDescent="0.3">
      <c r="A196" s="168"/>
      <c r="K196" s="168"/>
      <c r="Y196" s="44"/>
      <c r="AC196" s="168"/>
      <c r="AG196" s="168"/>
      <c r="AH196" s="168"/>
      <c r="AI196" s="168"/>
      <c r="AJ196" s="168"/>
      <c r="AK196" s="168"/>
      <c r="AL196" s="168"/>
      <c r="AM196" s="168"/>
      <c r="AN196" s="168"/>
      <c r="AO196" s="168"/>
      <c r="AP196" s="168"/>
      <c r="AQ196" s="168"/>
      <c r="AR196" s="168"/>
      <c r="AS196" s="168"/>
      <c r="AT196" s="168"/>
      <c r="AU196" s="168"/>
      <c r="AV196" s="168"/>
      <c r="AW196" s="168"/>
      <c r="AX196" s="168"/>
      <c r="AY196" s="168"/>
    </row>
    <row r="197" spans="1:51" s="40" customFormat="1" x14ac:dyDescent="0.3">
      <c r="A197" s="168"/>
      <c r="K197" s="168"/>
      <c r="Y197" s="44"/>
      <c r="AC197" s="168"/>
      <c r="AG197" s="168"/>
      <c r="AH197" s="168"/>
      <c r="AI197" s="168"/>
      <c r="AJ197" s="168"/>
      <c r="AK197" s="168"/>
      <c r="AL197" s="168"/>
      <c r="AM197" s="168"/>
      <c r="AN197" s="168"/>
      <c r="AO197" s="168"/>
      <c r="AP197" s="168"/>
      <c r="AQ197" s="168"/>
      <c r="AR197" s="168"/>
      <c r="AS197" s="168"/>
      <c r="AT197" s="168"/>
      <c r="AU197" s="168"/>
      <c r="AV197" s="168"/>
      <c r="AW197" s="168"/>
      <c r="AX197" s="168"/>
      <c r="AY197" s="168"/>
    </row>
    <row r="198" spans="1:51" s="40" customFormat="1" x14ac:dyDescent="0.3">
      <c r="A198" s="168"/>
      <c r="K198" s="168"/>
      <c r="Y198" s="44"/>
      <c r="AC198" s="168"/>
      <c r="AG198" s="168"/>
      <c r="AH198" s="168"/>
      <c r="AI198" s="168"/>
      <c r="AJ198" s="168"/>
      <c r="AK198" s="168"/>
      <c r="AL198" s="168"/>
      <c r="AM198" s="168"/>
      <c r="AN198" s="168"/>
      <c r="AO198" s="168"/>
      <c r="AP198" s="168"/>
      <c r="AQ198" s="168"/>
      <c r="AR198" s="168"/>
      <c r="AS198" s="168"/>
      <c r="AT198" s="168"/>
      <c r="AU198" s="168"/>
      <c r="AV198" s="168"/>
      <c r="AW198" s="168"/>
      <c r="AX198" s="168"/>
      <c r="AY198" s="168"/>
    </row>
    <row r="199" spans="1:51" s="40" customFormat="1" x14ac:dyDescent="0.3">
      <c r="A199" s="168"/>
      <c r="K199" s="168"/>
      <c r="Y199" s="44"/>
      <c r="AC199" s="168"/>
      <c r="AG199" s="168"/>
      <c r="AH199" s="168"/>
      <c r="AI199" s="168"/>
      <c r="AJ199" s="168"/>
      <c r="AK199" s="168"/>
      <c r="AL199" s="168"/>
      <c r="AM199" s="168"/>
      <c r="AN199" s="168"/>
      <c r="AO199" s="168"/>
      <c r="AP199" s="168"/>
      <c r="AQ199" s="168"/>
      <c r="AR199" s="168"/>
      <c r="AS199" s="168"/>
      <c r="AT199" s="168"/>
      <c r="AU199" s="168"/>
      <c r="AV199" s="168"/>
      <c r="AW199" s="168"/>
      <c r="AX199" s="168"/>
      <c r="AY199" s="168"/>
    </row>
    <row r="200" spans="1:51" s="40" customFormat="1" x14ac:dyDescent="0.3">
      <c r="A200" s="168"/>
      <c r="K200" s="168"/>
      <c r="Y200" s="44"/>
      <c r="AC200" s="168"/>
      <c r="AG200" s="168"/>
      <c r="AH200" s="168"/>
      <c r="AI200" s="168"/>
      <c r="AJ200" s="168"/>
      <c r="AK200" s="168"/>
      <c r="AL200" s="168"/>
      <c r="AM200" s="168"/>
      <c r="AN200" s="168"/>
      <c r="AO200" s="168"/>
      <c r="AP200" s="168"/>
      <c r="AQ200" s="168"/>
      <c r="AR200" s="168"/>
      <c r="AS200" s="168"/>
      <c r="AT200" s="168"/>
      <c r="AU200" s="168"/>
      <c r="AV200" s="168"/>
      <c r="AW200" s="168"/>
      <c r="AX200" s="168"/>
      <c r="AY200" s="168"/>
    </row>
    <row r="201" spans="1:51" s="40" customFormat="1" x14ac:dyDescent="0.3">
      <c r="A201" s="168"/>
      <c r="K201" s="168"/>
      <c r="Y201" s="44"/>
      <c r="AC201" s="168"/>
      <c r="AG201" s="168"/>
      <c r="AH201" s="168"/>
      <c r="AI201" s="168"/>
      <c r="AJ201" s="168"/>
      <c r="AK201" s="168"/>
      <c r="AL201" s="168"/>
      <c r="AM201" s="168"/>
      <c r="AN201" s="168"/>
      <c r="AO201" s="168"/>
      <c r="AP201" s="168"/>
      <c r="AQ201" s="168"/>
      <c r="AR201" s="168"/>
      <c r="AS201" s="168"/>
      <c r="AT201" s="168"/>
      <c r="AU201" s="168"/>
      <c r="AV201" s="168"/>
      <c r="AW201" s="168"/>
      <c r="AX201" s="168"/>
      <c r="AY201" s="168"/>
    </row>
    <row r="202" spans="1:51" s="40" customFormat="1" x14ac:dyDescent="0.3">
      <c r="A202" s="168"/>
      <c r="K202" s="168"/>
      <c r="Y202" s="44"/>
      <c r="AC202" s="168"/>
      <c r="AG202" s="168"/>
      <c r="AH202" s="168"/>
      <c r="AI202" s="168"/>
      <c r="AJ202" s="168"/>
      <c r="AK202" s="168"/>
      <c r="AL202" s="168"/>
      <c r="AM202" s="168"/>
      <c r="AN202" s="168"/>
      <c r="AO202" s="168"/>
      <c r="AP202" s="168"/>
      <c r="AQ202" s="168"/>
      <c r="AR202" s="168"/>
      <c r="AS202" s="168"/>
      <c r="AT202" s="168"/>
      <c r="AU202" s="168"/>
      <c r="AV202" s="168"/>
      <c r="AW202" s="168"/>
      <c r="AX202" s="168"/>
      <c r="AY202" s="168"/>
    </row>
    <row r="203" spans="1:51" s="40" customFormat="1" x14ac:dyDescent="0.3">
      <c r="A203" s="168"/>
      <c r="K203" s="168"/>
      <c r="Y203" s="44"/>
      <c r="AC203" s="168"/>
      <c r="AG203" s="168"/>
      <c r="AH203" s="168"/>
      <c r="AI203" s="168"/>
      <c r="AJ203" s="168"/>
      <c r="AK203" s="168"/>
      <c r="AL203" s="168"/>
      <c r="AM203" s="168"/>
      <c r="AN203" s="168"/>
      <c r="AO203" s="168"/>
      <c r="AP203" s="168"/>
      <c r="AQ203" s="168"/>
      <c r="AR203" s="168"/>
      <c r="AS203" s="168"/>
      <c r="AT203" s="168"/>
      <c r="AU203" s="168"/>
      <c r="AV203" s="168"/>
      <c r="AW203" s="168"/>
      <c r="AX203" s="168"/>
      <c r="AY203" s="168"/>
    </row>
    <row r="204" spans="1:51" s="40" customFormat="1" x14ac:dyDescent="0.3">
      <c r="A204" s="168"/>
      <c r="K204" s="168"/>
      <c r="Y204" s="44"/>
      <c r="AC204" s="168"/>
      <c r="AG204" s="168"/>
      <c r="AH204" s="168"/>
      <c r="AI204" s="168"/>
      <c r="AJ204" s="168"/>
      <c r="AK204" s="168"/>
      <c r="AL204" s="168"/>
      <c r="AM204" s="168"/>
      <c r="AN204" s="168"/>
      <c r="AO204" s="168"/>
      <c r="AP204" s="168"/>
      <c r="AQ204" s="168"/>
      <c r="AR204" s="168"/>
      <c r="AS204" s="168"/>
      <c r="AT204" s="168"/>
      <c r="AU204" s="168"/>
      <c r="AV204" s="168"/>
      <c r="AW204" s="168"/>
      <c r="AX204" s="168"/>
      <c r="AY204" s="168"/>
    </row>
    <row r="205" spans="1:51" s="40" customFormat="1" x14ac:dyDescent="0.3">
      <c r="A205" s="168"/>
      <c r="K205" s="168"/>
      <c r="Y205" s="44"/>
      <c r="AC205" s="168"/>
      <c r="AG205" s="168"/>
      <c r="AH205" s="168"/>
      <c r="AI205" s="168"/>
      <c r="AJ205" s="168"/>
      <c r="AK205" s="168"/>
      <c r="AL205" s="168"/>
      <c r="AM205" s="168"/>
      <c r="AN205" s="168"/>
      <c r="AO205" s="168"/>
      <c r="AP205" s="168"/>
      <c r="AQ205" s="168"/>
      <c r="AR205" s="168"/>
      <c r="AS205" s="168"/>
      <c r="AT205" s="168"/>
      <c r="AU205" s="168"/>
      <c r="AV205" s="168"/>
      <c r="AW205" s="168"/>
      <c r="AX205" s="168"/>
      <c r="AY205" s="168"/>
    </row>
    <row r="206" spans="1:51" s="40" customFormat="1" x14ac:dyDescent="0.3">
      <c r="A206" s="168"/>
      <c r="K206" s="168"/>
      <c r="Y206" s="44"/>
      <c r="AC206" s="168"/>
      <c r="AG206" s="168"/>
      <c r="AH206" s="168"/>
      <c r="AI206" s="168"/>
      <c r="AJ206" s="168"/>
      <c r="AK206" s="168"/>
      <c r="AL206" s="168"/>
      <c r="AM206" s="168"/>
      <c r="AN206" s="168"/>
      <c r="AO206" s="168"/>
      <c r="AP206" s="168"/>
      <c r="AQ206" s="168"/>
      <c r="AR206" s="168"/>
      <c r="AS206" s="168"/>
      <c r="AT206" s="168"/>
      <c r="AU206" s="168"/>
      <c r="AV206" s="168"/>
      <c r="AW206" s="168"/>
      <c r="AX206" s="168"/>
      <c r="AY206" s="168"/>
    </row>
    <row r="207" spans="1:51" s="40" customFormat="1" x14ac:dyDescent="0.3">
      <c r="A207" s="168"/>
      <c r="K207" s="168"/>
      <c r="Y207" s="44"/>
      <c r="AC207" s="168"/>
      <c r="AG207" s="168"/>
      <c r="AH207" s="168"/>
      <c r="AI207" s="168"/>
      <c r="AJ207" s="168"/>
      <c r="AK207" s="168"/>
      <c r="AL207" s="168"/>
      <c r="AM207" s="168"/>
      <c r="AN207" s="168"/>
      <c r="AO207" s="168"/>
      <c r="AP207" s="168"/>
      <c r="AQ207" s="168"/>
      <c r="AR207" s="168"/>
      <c r="AS207" s="168"/>
      <c r="AT207" s="168"/>
      <c r="AU207" s="168"/>
      <c r="AV207" s="168"/>
      <c r="AW207" s="168"/>
      <c r="AX207" s="168"/>
      <c r="AY207" s="168"/>
    </row>
    <row r="208" spans="1:51" s="40" customFormat="1" x14ac:dyDescent="0.3">
      <c r="A208" s="168"/>
      <c r="K208" s="168"/>
      <c r="Y208" s="44"/>
      <c r="AC208" s="168"/>
      <c r="AG208" s="168"/>
      <c r="AH208" s="168"/>
      <c r="AI208" s="168"/>
      <c r="AJ208" s="168"/>
      <c r="AK208" s="168"/>
      <c r="AL208" s="168"/>
      <c r="AM208" s="168"/>
      <c r="AN208" s="168"/>
      <c r="AO208" s="168"/>
      <c r="AP208" s="168"/>
      <c r="AQ208" s="168"/>
      <c r="AR208" s="168"/>
      <c r="AS208" s="168"/>
      <c r="AT208" s="168"/>
      <c r="AU208" s="168"/>
      <c r="AV208" s="168"/>
      <c r="AW208" s="168"/>
      <c r="AX208" s="168"/>
      <c r="AY208" s="168"/>
    </row>
    <row r="209" spans="1:51" s="40" customFormat="1" x14ac:dyDescent="0.3">
      <c r="A209" s="168"/>
      <c r="K209" s="168"/>
      <c r="Y209" s="44"/>
      <c r="AC209" s="168"/>
      <c r="AG209" s="168"/>
      <c r="AH209" s="168"/>
      <c r="AI209" s="168"/>
      <c r="AJ209" s="168"/>
      <c r="AK209" s="168"/>
      <c r="AL209" s="168"/>
      <c r="AM209" s="168"/>
      <c r="AN209" s="168"/>
      <c r="AO209" s="168"/>
      <c r="AP209" s="168"/>
      <c r="AQ209" s="168"/>
      <c r="AR209" s="168"/>
      <c r="AS209" s="168"/>
      <c r="AT209" s="168"/>
      <c r="AU209" s="168"/>
      <c r="AV209" s="168"/>
      <c r="AW209" s="168"/>
      <c r="AX209" s="168"/>
      <c r="AY209" s="168"/>
    </row>
    <row r="210" spans="1:51" s="40" customFormat="1" x14ac:dyDescent="0.3">
      <c r="A210" s="168"/>
      <c r="K210" s="168"/>
      <c r="Y210" s="44"/>
      <c r="AC210" s="168"/>
      <c r="AG210" s="168"/>
      <c r="AH210" s="168"/>
      <c r="AI210" s="168"/>
      <c r="AJ210" s="168"/>
      <c r="AK210" s="168"/>
      <c r="AL210" s="168"/>
      <c r="AM210" s="168"/>
      <c r="AN210" s="168"/>
      <c r="AO210" s="168"/>
      <c r="AP210" s="168"/>
      <c r="AQ210" s="168"/>
      <c r="AR210" s="168"/>
      <c r="AS210" s="168"/>
      <c r="AT210" s="168"/>
      <c r="AU210" s="168"/>
      <c r="AV210" s="168"/>
      <c r="AW210" s="168"/>
      <c r="AX210" s="168"/>
      <c r="AY210" s="168"/>
    </row>
    <row r="211" spans="1:51" s="40" customFormat="1" x14ac:dyDescent="0.3">
      <c r="A211" s="168"/>
      <c r="K211" s="168"/>
      <c r="Y211" s="44"/>
      <c r="AC211" s="168"/>
      <c r="AG211" s="168"/>
      <c r="AH211" s="168"/>
      <c r="AI211" s="168"/>
      <c r="AJ211" s="168"/>
      <c r="AK211" s="168"/>
      <c r="AL211" s="168"/>
      <c r="AM211" s="168"/>
      <c r="AN211" s="168"/>
      <c r="AO211" s="168"/>
      <c r="AP211" s="168"/>
      <c r="AQ211" s="168"/>
      <c r="AR211" s="168"/>
      <c r="AS211" s="168"/>
      <c r="AT211" s="168"/>
      <c r="AU211" s="168"/>
      <c r="AV211" s="168"/>
      <c r="AW211" s="168"/>
      <c r="AX211" s="168"/>
      <c r="AY211" s="168"/>
    </row>
    <row r="212" spans="1:51" s="40" customFormat="1" x14ac:dyDescent="0.3">
      <c r="A212" s="168"/>
      <c r="K212" s="168"/>
      <c r="Y212" s="44"/>
      <c r="AC212" s="168"/>
      <c r="AG212" s="168"/>
      <c r="AH212" s="168"/>
      <c r="AI212" s="168"/>
      <c r="AJ212" s="168"/>
      <c r="AK212" s="168"/>
      <c r="AL212" s="168"/>
      <c r="AM212" s="168"/>
      <c r="AN212" s="168"/>
      <c r="AO212" s="168"/>
      <c r="AP212" s="168"/>
      <c r="AQ212" s="168"/>
      <c r="AR212" s="168"/>
      <c r="AS212" s="168"/>
      <c r="AT212" s="168"/>
      <c r="AU212" s="168"/>
      <c r="AV212" s="168"/>
      <c r="AW212" s="168"/>
      <c r="AX212" s="168"/>
      <c r="AY212" s="168"/>
    </row>
    <row r="213" spans="1:51" s="40" customFormat="1" x14ac:dyDescent="0.3">
      <c r="A213" s="168"/>
      <c r="K213" s="168"/>
      <c r="Y213" s="44"/>
      <c r="AC213" s="168"/>
      <c r="AG213" s="168"/>
      <c r="AH213" s="168"/>
      <c r="AI213" s="168"/>
      <c r="AJ213" s="168"/>
      <c r="AK213" s="168"/>
      <c r="AL213" s="168"/>
      <c r="AM213" s="168"/>
      <c r="AN213" s="168"/>
      <c r="AO213" s="168"/>
      <c r="AP213" s="168"/>
      <c r="AQ213" s="168"/>
      <c r="AR213" s="168"/>
      <c r="AS213" s="168"/>
      <c r="AT213" s="168"/>
      <c r="AU213" s="168"/>
      <c r="AV213" s="168"/>
      <c r="AW213" s="168"/>
      <c r="AX213" s="168"/>
      <c r="AY213" s="168"/>
    </row>
    <row r="214" spans="1:51" s="40" customFormat="1" x14ac:dyDescent="0.3">
      <c r="A214" s="168"/>
      <c r="K214" s="168"/>
      <c r="Y214" s="44"/>
      <c r="AC214" s="168"/>
      <c r="AG214" s="168"/>
      <c r="AH214" s="168"/>
      <c r="AI214" s="168"/>
      <c r="AJ214" s="168"/>
      <c r="AK214" s="168"/>
      <c r="AL214" s="168"/>
      <c r="AM214" s="168"/>
      <c r="AN214" s="168"/>
      <c r="AO214" s="168"/>
      <c r="AP214" s="168"/>
      <c r="AQ214" s="168"/>
      <c r="AR214" s="168"/>
      <c r="AS214" s="168"/>
      <c r="AT214" s="168"/>
      <c r="AU214" s="168"/>
      <c r="AV214" s="168"/>
      <c r="AW214" s="168"/>
      <c r="AX214" s="168"/>
      <c r="AY214" s="168"/>
    </row>
    <row r="215" spans="1:51" s="40" customFormat="1" x14ac:dyDescent="0.3">
      <c r="A215" s="168"/>
      <c r="K215" s="168"/>
      <c r="Y215" s="44"/>
      <c r="AC215" s="168"/>
      <c r="AG215" s="168"/>
      <c r="AH215" s="168"/>
      <c r="AI215" s="168"/>
      <c r="AJ215" s="168"/>
      <c r="AK215" s="168"/>
      <c r="AL215" s="168"/>
      <c r="AM215" s="168"/>
      <c r="AN215" s="168"/>
      <c r="AO215" s="168"/>
      <c r="AP215" s="168"/>
      <c r="AQ215" s="168"/>
      <c r="AR215" s="168"/>
      <c r="AS215" s="168"/>
      <c r="AT215" s="168"/>
      <c r="AU215" s="168"/>
      <c r="AV215" s="168"/>
      <c r="AW215" s="168"/>
      <c r="AX215" s="168"/>
      <c r="AY215" s="168"/>
    </row>
    <row r="216" spans="1:51" s="40" customFormat="1" x14ac:dyDescent="0.3">
      <c r="A216" s="168"/>
      <c r="K216" s="168"/>
      <c r="Y216" s="44"/>
      <c r="AC216" s="168"/>
      <c r="AG216" s="168"/>
      <c r="AH216" s="168"/>
      <c r="AI216" s="168"/>
      <c r="AJ216" s="168"/>
      <c r="AK216" s="168"/>
      <c r="AL216" s="168"/>
      <c r="AM216" s="168"/>
      <c r="AN216" s="168"/>
      <c r="AO216" s="168"/>
      <c r="AP216" s="168"/>
      <c r="AQ216" s="168"/>
      <c r="AR216" s="168"/>
      <c r="AS216" s="168"/>
      <c r="AT216" s="168"/>
      <c r="AU216" s="168"/>
      <c r="AV216" s="168"/>
      <c r="AW216" s="168"/>
      <c r="AX216" s="168"/>
      <c r="AY216" s="168"/>
    </row>
    <row r="217" spans="1:51" s="40" customFormat="1" x14ac:dyDescent="0.3">
      <c r="A217" s="168"/>
      <c r="K217" s="168"/>
      <c r="Y217" s="44"/>
      <c r="AC217" s="168"/>
      <c r="AG217" s="168"/>
      <c r="AH217" s="168"/>
      <c r="AI217" s="168"/>
      <c r="AJ217" s="168"/>
      <c r="AK217" s="168"/>
      <c r="AL217" s="168"/>
      <c r="AM217" s="168"/>
      <c r="AN217" s="168"/>
      <c r="AO217" s="168"/>
      <c r="AP217" s="168"/>
      <c r="AQ217" s="168"/>
      <c r="AR217" s="168"/>
      <c r="AS217" s="168"/>
      <c r="AT217" s="168"/>
      <c r="AU217" s="168"/>
      <c r="AV217" s="168"/>
      <c r="AW217" s="168"/>
      <c r="AX217" s="168"/>
      <c r="AY217" s="168"/>
    </row>
    <row r="218" spans="1:51" s="40" customFormat="1" x14ac:dyDescent="0.3">
      <c r="A218" s="168"/>
      <c r="K218" s="168"/>
      <c r="Y218" s="44"/>
      <c r="AC218" s="168"/>
      <c r="AG218" s="168"/>
      <c r="AH218" s="168"/>
      <c r="AI218" s="168"/>
      <c r="AJ218" s="168"/>
      <c r="AK218" s="168"/>
      <c r="AL218" s="168"/>
      <c r="AM218" s="168"/>
      <c r="AN218" s="168"/>
      <c r="AO218" s="168"/>
      <c r="AP218" s="168"/>
      <c r="AQ218" s="168"/>
      <c r="AR218" s="168"/>
      <c r="AS218" s="168"/>
      <c r="AT218" s="168"/>
      <c r="AU218" s="168"/>
      <c r="AV218" s="168"/>
      <c r="AW218" s="168"/>
      <c r="AX218" s="168"/>
      <c r="AY218" s="168"/>
    </row>
    <row r="219" spans="1:51" s="40" customFormat="1" x14ac:dyDescent="0.3">
      <c r="A219" s="168"/>
      <c r="K219" s="168"/>
      <c r="Y219" s="44"/>
      <c r="AC219" s="168"/>
      <c r="AG219" s="168"/>
      <c r="AH219" s="168"/>
      <c r="AI219" s="168"/>
      <c r="AJ219" s="168"/>
      <c r="AK219" s="168"/>
      <c r="AL219" s="168"/>
      <c r="AM219" s="168"/>
      <c r="AN219" s="168"/>
      <c r="AO219" s="168"/>
      <c r="AP219" s="168"/>
      <c r="AQ219" s="168"/>
      <c r="AR219" s="168"/>
      <c r="AS219" s="168"/>
      <c r="AT219" s="168"/>
      <c r="AU219" s="168"/>
      <c r="AV219" s="168"/>
      <c r="AW219" s="168"/>
      <c r="AX219" s="168"/>
      <c r="AY219" s="168"/>
    </row>
    <row r="220" spans="1:51" s="40" customFormat="1" x14ac:dyDescent="0.3">
      <c r="A220" s="168"/>
      <c r="K220" s="168"/>
      <c r="Y220" s="44"/>
      <c r="AC220" s="168"/>
      <c r="AG220" s="168"/>
      <c r="AH220" s="168"/>
      <c r="AI220" s="168"/>
      <c r="AJ220" s="168"/>
      <c r="AK220" s="168"/>
      <c r="AL220" s="168"/>
      <c r="AM220" s="168"/>
      <c r="AN220" s="168"/>
      <c r="AO220" s="168"/>
      <c r="AP220" s="168"/>
      <c r="AQ220" s="168"/>
      <c r="AR220" s="168"/>
      <c r="AS220" s="168"/>
      <c r="AT220" s="168"/>
      <c r="AU220" s="168"/>
      <c r="AV220" s="168"/>
      <c r="AW220" s="168"/>
      <c r="AX220" s="168"/>
      <c r="AY220" s="168"/>
    </row>
    <row r="221" spans="1:51" s="40" customFormat="1" x14ac:dyDescent="0.3">
      <c r="A221" s="168"/>
      <c r="K221" s="168"/>
      <c r="Y221" s="44"/>
      <c r="AC221" s="168"/>
      <c r="AG221" s="168"/>
      <c r="AH221" s="168"/>
      <c r="AI221" s="168"/>
      <c r="AJ221" s="168"/>
      <c r="AK221" s="168"/>
      <c r="AL221" s="168"/>
      <c r="AM221" s="168"/>
      <c r="AN221" s="168"/>
      <c r="AO221" s="168"/>
      <c r="AP221" s="168"/>
      <c r="AQ221" s="168"/>
      <c r="AR221" s="168"/>
      <c r="AS221" s="168"/>
      <c r="AT221" s="168"/>
      <c r="AU221" s="168"/>
      <c r="AV221" s="168"/>
      <c r="AW221" s="168"/>
      <c r="AX221" s="168"/>
      <c r="AY221" s="168"/>
    </row>
    <row r="222" spans="1:51" s="40" customFormat="1" x14ac:dyDescent="0.3">
      <c r="A222" s="168"/>
      <c r="K222" s="168"/>
      <c r="Y222" s="44"/>
      <c r="AC222" s="168"/>
      <c r="AG222" s="168"/>
      <c r="AH222" s="168"/>
      <c r="AI222" s="168"/>
      <c r="AJ222" s="168"/>
      <c r="AK222" s="168"/>
      <c r="AL222" s="168"/>
      <c r="AM222" s="168"/>
      <c r="AN222" s="168"/>
      <c r="AO222" s="168"/>
      <c r="AP222" s="168"/>
      <c r="AQ222" s="168"/>
      <c r="AR222" s="168"/>
      <c r="AS222" s="168"/>
      <c r="AT222" s="168"/>
      <c r="AU222" s="168"/>
      <c r="AV222" s="168"/>
      <c r="AW222" s="168"/>
      <c r="AX222" s="168"/>
      <c r="AY222" s="168"/>
    </row>
    <row r="223" spans="1:51" s="40" customFormat="1" x14ac:dyDescent="0.3">
      <c r="A223" s="168"/>
      <c r="K223" s="168"/>
      <c r="Y223" s="44"/>
      <c r="AC223" s="168"/>
      <c r="AG223" s="168"/>
      <c r="AH223" s="168"/>
      <c r="AI223" s="168"/>
      <c r="AJ223" s="168"/>
      <c r="AK223" s="168"/>
      <c r="AL223" s="168"/>
      <c r="AM223" s="168"/>
      <c r="AN223" s="168"/>
      <c r="AO223" s="168"/>
      <c r="AP223" s="168"/>
      <c r="AQ223" s="168"/>
      <c r="AR223" s="168"/>
      <c r="AS223" s="168"/>
      <c r="AT223" s="168"/>
      <c r="AU223" s="168"/>
      <c r="AV223" s="168"/>
      <c r="AW223" s="168"/>
      <c r="AX223" s="168"/>
      <c r="AY223" s="168"/>
    </row>
    <row r="224" spans="1:51" s="40" customFormat="1" x14ac:dyDescent="0.3">
      <c r="A224" s="168"/>
      <c r="K224" s="168"/>
      <c r="Y224" s="44"/>
      <c r="AC224" s="168"/>
      <c r="AG224" s="168"/>
      <c r="AH224" s="168"/>
      <c r="AI224" s="168"/>
      <c r="AJ224" s="168"/>
      <c r="AK224" s="168"/>
      <c r="AL224" s="168"/>
      <c r="AM224" s="168"/>
      <c r="AN224" s="168"/>
      <c r="AO224" s="168"/>
      <c r="AP224" s="168"/>
      <c r="AQ224" s="168"/>
      <c r="AR224" s="168"/>
      <c r="AS224" s="168"/>
      <c r="AT224" s="168"/>
      <c r="AU224" s="168"/>
      <c r="AV224" s="168"/>
      <c r="AW224" s="168"/>
      <c r="AX224" s="168"/>
      <c r="AY224" s="168"/>
    </row>
    <row r="225" spans="1:51" s="40" customFormat="1" x14ac:dyDescent="0.3">
      <c r="A225" s="168"/>
      <c r="K225" s="168"/>
      <c r="Y225" s="44"/>
      <c r="AC225" s="168"/>
      <c r="AG225" s="168"/>
      <c r="AH225" s="168"/>
      <c r="AI225" s="168"/>
      <c r="AJ225" s="168"/>
      <c r="AK225" s="168"/>
      <c r="AL225" s="168"/>
      <c r="AM225" s="168"/>
      <c r="AN225" s="168"/>
      <c r="AO225" s="168"/>
      <c r="AP225" s="168"/>
      <c r="AQ225" s="168"/>
      <c r="AR225" s="168"/>
      <c r="AS225" s="168"/>
      <c r="AT225" s="168"/>
      <c r="AU225" s="168"/>
      <c r="AV225" s="168"/>
      <c r="AW225" s="168"/>
      <c r="AX225" s="168"/>
      <c r="AY225" s="168"/>
    </row>
    <row r="226" spans="1:51" s="40" customFormat="1" x14ac:dyDescent="0.3">
      <c r="A226" s="168"/>
      <c r="K226" s="168"/>
      <c r="Y226" s="44"/>
      <c r="AC226" s="168"/>
      <c r="AG226" s="168"/>
      <c r="AH226" s="168"/>
      <c r="AI226" s="168"/>
      <c r="AJ226" s="168"/>
      <c r="AK226" s="168"/>
      <c r="AL226" s="168"/>
      <c r="AM226" s="168"/>
      <c r="AN226" s="168"/>
      <c r="AO226" s="168"/>
      <c r="AP226" s="168"/>
      <c r="AQ226" s="168"/>
      <c r="AR226" s="168"/>
      <c r="AS226" s="168"/>
      <c r="AT226" s="168"/>
      <c r="AU226" s="168"/>
      <c r="AV226" s="168"/>
      <c r="AW226" s="168"/>
      <c r="AX226" s="168"/>
      <c r="AY226" s="168"/>
    </row>
    <row r="227" spans="1:51" s="40" customFormat="1" x14ac:dyDescent="0.3">
      <c r="A227" s="168"/>
      <c r="K227" s="168"/>
      <c r="Y227" s="44"/>
      <c r="AC227" s="168"/>
      <c r="AG227" s="168"/>
      <c r="AH227" s="168"/>
      <c r="AI227" s="168"/>
      <c r="AJ227" s="168"/>
      <c r="AK227" s="168"/>
      <c r="AL227" s="168"/>
      <c r="AM227" s="168"/>
      <c r="AN227" s="168"/>
      <c r="AO227" s="168"/>
      <c r="AP227" s="168"/>
      <c r="AQ227" s="168"/>
      <c r="AR227" s="168"/>
      <c r="AS227" s="168"/>
      <c r="AT227" s="168"/>
      <c r="AU227" s="168"/>
      <c r="AV227" s="168"/>
      <c r="AW227" s="168"/>
      <c r="AX227" s="168"/>
      <c r="AY227" s="168"/>
    </row>
    <row r="228" spans="1:51" s="40" customFormat="1" x14ac:dyDescent="0.3">
      <c r="A228" s="168"/>
      <c r="K228" s="168"/>
      <c r="Y228" s="44"/>
      <c r="AC228" s="168"/>
      <c r="AG228" s="168"/>
      <c r="AH228" s="168"/>
      <c r="AI228" s="168"/>
      <c r="AJ228" s="168"/>
      <c r="AK228" s="168"/>
      <c r="AL228" s="168"/>
      <c r="AM228" s="168"/>
      <c r="AN228" s="168"/>
      <c r="AO228" s="168"/>
      <c r="AP228" s="168"/>
      <c r="AQ228" s="168"/>
      <c r="AR228" s="168"/>
      <c r="AS228" s="168"/>
      <c r="AT228" s="168"/>
      <c r="AU228" s="168"/>
      <c r="AV228" s="168"/>
      <c r="AW228" s="168"/>
      <c r="AX228" s="168"/>
      <c r="AY228" s="168"/>
    </row>
    <row r="229" spans="1:51" s="40" customFormat="1" x14ac:dyDescent="0.3">
      <c r="A229" s="168"/>
      <c r="K229" s="168"/>
      <c r="Y229" s="44"/>
      <c r="AC229" s="168"/>
      <c r="AG229" s="168"/>
      <c r="AH229" s="168"/>
      <c r="AI229" s="168"/>
      <c r="AJ229" s="168"/>
      <c r="AK229" s="168"/>
      <c r="AL229" s="168"/>
      <c r="AM229" s="168"/>
      <c r="AN229" s="168"/>
      <c r="AO229" s="168"/>
      <c r="AP229" s="168"/>
      <c r="AQ229" s="168"/>
      <c r="AR229" s="168"/>
      <c r="AS229" s="168"/>
      <c r="AT229" s="168"/>
      <c r="AU229" s="168"/>
      <c r="AV229" s="168"/>
      <c r="AW229" s="168"/>
      <c r="AX229" s="168"/>
      <c r="AY229" s="168"/>
    </row>
    <row r="230" spans="1:51" s="40" customFormat="1" x14ac:dyDescent="0.3">
      <c r="A230" s="168"/>
      <c r="K230" s="168"/>
      <c r="Y230" s="44"/>
      <c r="AC230" s="168"/>
      <c r="AG230" s="168"/>
      <c r="AH230" s="168"/>
      <c r="AI230" s="168"/>
      <c r="AJ230" s="168"/>
      <c r="AK230" s="168"/>
      <c r="AL230" s="168"/>
      <c r="AM230" s="168"/>
      <c r="AN230" s="168"/>
      <c r="AO230" s="168"/>
      <c r="AP230" s="168"/>
      <c r="AQ230" s="168"/>
      <c r="AR230" s="168"/>
      <c r="AS230" s="168"/>
      <c r="AT230" s="168"/>
      <c r="AU230" s="168"/>
      <c r="AV230" s="168"/>
      <c r="AW230" s="168"/>
      <c r="AX230" s="168"/>
      <c r="AY230" s="168"/>
    </row>
    <row r="231" spans="1:51" s="40" customFormat="1" x14ac:dyDescent="0.3">
      <c r="A231" s="168"/>
      <c r="K231" s="168"/>
      <c r="Y231" s="44"/>
      <c r="AC231" s="168"/>
      <c r="AG231" s="168"/>
      <c r="AH231" s="168"/>
      <c r="AI231" s="168"/>
      <c r="AJ231" s="168"/>
      <c r="AK231" s="168"/>
      <c r="AL231" s="168"/>
      <c r="AM231" s="168"/>
      <c r="AN231" s="168"/>
      <c r="AO231" s="168"/>
      <c r="AP231" s="168"/>
      <c r="AQ231" s="168"/>
      <c r="AR231" s="168"/>
      <c r="AS231" s="168"/>
      <c r="AT231" s="168"/>
      <c r="AU231" s="168"/>
      <c r="AV231" s="168"/>
      <c r="AW231" s="168"/>
      <c r="AX231" s="168"/>
      <c r="AY231" s="168"/>
    </row>
    <row r="232" spans="1:51" s="40" customFormat="1" x14ac:dyDescent="0.3">
      <c r="A232" s="168"/>
      <c r="K232" s="168"/>
      <c r="Y232" s="44"/>
      <c r="AC232" s="168"/>
      <c r="AG232" s="168"/>
      <c r="AH232" s="168"/>
      <c r="AI232" s="168"/>
      <c r="AJ232" s="168"/>
      <c r="AK232" s="168"/>
      <c r="AL232" s="168"/>
      <c r="AM232" s="168"/>
      <c r="AN232" s="168"/>
      <c r="AO232" s="168"/>
      <c r="AP232" s="168"/>
      <c r="AQ232" s="168"/>
      <c r="AR232" s="168"/>
      <c r="AS232" s="168"/>
      <c r="AT232" s="168"/>
      <c r="AU232" s="168"/>
      <c r="AV232" s="168"/>
      <c r="AW232" s="168"/>
      <c r="AX232" s="168"/>
      <c r="AY232" s="168"/>
    </row>
    <row r="233" spans="1:51" s="40" customFormat="1" x14ac:dyDescent="0.3">
      <c r="A233" s="168"/>
      <c r="K233" s="168"/>
      <c r="Y233" s="44"/>
      <c r="AC233" s="168"/>
      <c r="AG233" s="168"/>
      <c r="AH233" s="168"/>
      <c r="AI233" s="168"/>
      <c r="AJ233" s="168"/>
      <c r="AK233" s="168"/>
      <c r="AL233" s="168"/>
      <c r="AM233" s="168"/>
      <c r="AN233" s="168"/>
      <c r="AO233" s="168"/>
      <c r="AP233" s="168"/>
      <c r="AQ233" s="168"/>
      <c r="AR233" s="168"/>
      <c r="AS233" s="168"/>
      <c r="AT233" s="168"/>
      <c r="AU233" s="168"/>
      <c r="AV233" s="168"/>
      <c r="AW233" s="168"/>
      <c r="AX233" s="168"/>
      <c r="AY233" s="168"/>
    </row>
    <row r="234" spans="1:51" s="40" customFormat="1" x14ac:dyDescent="0.3">
      <c r="A234" s="168"/>
      <c r="K234" s="168"/>
      <c r="Y234" s="44"/>
      <c r="AC234" s="168"/>
      <c r="AG234" s="168"/>
      <c r="AH234" s="168"/>
      <c r="AI234" s="168"/>
      <c r="AJ234" s="168"/>
      <c r="AK234" s="168"/>
      <c r="AL234" s="168"/>
      <c r="AM234" s="168"/>
      <c r="AN234" s="168"/>
      <c r="AO234" s="168"/>
      <c r="AP234" s="168"/>
      <c r="AQ234" s="168"/>
      <c r="AR234" s="168"/>
      <c r="AS234" s="168"/>
      <c r="AT234" s="168"/>
      <c r="AU234" s="168"/>
      <c r="AV234" s="168"/>
      <c r="AW234" s="168"/>
      <c r="AX234" s="168"/>
      <c r="AY234" s="168"/>
    </row>
    <row r="235" spans="1:51" s="40" customFormat="1" x14ac:dyDescent="0.3">
      <c r="A235" s="168"/>
      <c r="K235" s="168"/>
      <c r="Y235" s="44"/>
      <c r="AC235" s="168"/>
      <c r="AG235" s="168"/>
      <c r="AH235" s="168"/>
      <c r="AI235" s="168"/>
      <c r="AJ235" s="168"/>
      <c r="AK235" s="168"/>
      <c r="AL235" s="168"/>
      <c r="AM235" s="168"/>
      <c r="AN235" s="168"/>
      <c r="AO235" s="168"/>
      <c r="AP235" s="168"/>
      <c r="AQ235" s="168"/>
      <c r="AR235" s="168"/>
      <c r="AS235" s="168"/>
      <c r="AT235" s="168"/>
      <c r="AU235" s="168"/>
      <c r="AV235" s="168"/>
      <c r="AW235" s="168"/>
      <c r="AX235" s="168"/>
      <c r="AY235" s="168"/>
    </row>
    <row r="236" spans="1:51" s="40" customFormat="1" x14ac:dyDescent="0.3">
      <c r="A236" s="168"/>
      <c r="K236" s="168"/>
      <c r="Y236" s="44"/>
      <c r="AC236" s="168"/>
      <c r="AG236" s="168"/>
      <c r="AH236" s="168"/>
      <c r="AI236" s="168"/>
      <c r="AJ236" s="168"/>
      <c r="AK236" s="168"/>
      <c r="AL236" s="168"/>
      <c r="AM236" s="168"/>
      <c r="AN236" s="168"/>
      <c r="AO236" s="168"/>
      <c r="AP236" s="168"/>
      <c r="AQ236" s="168"/>
      <c r="AR236" s="168"/>
      <c r="AS236" s="168"/>
      <c r="AT236" s="168"/>
      <c r="AU236" s="168"/>
      <c r="AV236" s="168"/>
      <c r="AW236" s="168"/>
      <c r="AX236" s="168"/>
      <c r="AY236" s="168"/>
    </row>
    <row r="237" spans="1:51" s="40" customFormat="1" x14ac:dyDescent="0.3">
      <c r="A237" s="168"/>
      <c r="K237" s="168"/>
      <c r="Y237" s="44"/>
      <c r="AC237" s="168"/>
      <c r="AG237" s="168"/>
      <c r="AH237" s="168"/>
      <c r="AI237" s="168"/>
      <c r="AJ237" s="168"/>
      <c r="AK237" s="168"/>
      <c r="AL237" s="168"/>
      <c r="AM237" s="168"/>
      <c r="AN237" s="168"/>
      <c r="AO237" s="168"/>
      <c r="AP237" s="168"/>
      <c r="AQ237" s="168"/>
      <c r="AR237" s="168"/>
      <c r="AS237" s="168"/>
      <c r="AT237" s="168"/>
      <c r="AU237" s="168"/>
      <c r="AV237" s="168"/>
      <c r="AW237" s="168"/>
      <c r="AX237" s="168"/>
      <c r="AY237" s="168"/>
    </row>
    <row r="238" spans="1:51" s="40" customFormat="1" x14ac:dyDescent="0.3">
      <c r="A238" s="168"/>
      <c r="K238" s="168"/>
      <c r="Y238" s="44"/>
      <c r="AC238" s="168"/>
      <c r="AG238" s="168"/>
      <c r="AH238" s="168"/>
      <c r="AI238" s="168"/>
      <c r="AJ238" s="168"/>
      <c r="AK238" s="168"/>
      <c r="AL238" s="168"/>
      <c r="AM238" s="168"/>
      <c r="AN238" s="168"/>
      <c r="AO238" s="168"/>
      <c r="AP238" s="168"/>
      <c r="AQ238" s="168"/>
      <c r="AR238" s="168"/>
      <c r="AS238" s="168"/>
      <c r="AT238" s="168"/>
      <c r="AU238" s="168"/>
      <c r="AV238" s="168"/>
      <c r="AW238" s="168"/>
      <c r="AX238" s="168"/>
      <c r="AY238" s="168"/>
    </row>
    <row r="239" spans="1:51" s="40" customFormat="1" x14ac:dyDescent="0.3">
      <c r="A239" s="168"/>
      <c r="K239" s="168"/>
      <c r="Y239" s="44"/>
      <c r="AC239" s="168"/>
      <c r="AG239" s="168"/>
      <c r="AH239" s="168"/>
      <c r="AI239" s="168"/>
      <c r="AJ239" s="168"/>
      <c r="AK239" s="168"/>
      <c r="AL239" s="168"/>
      <c r="AM239" s="168"/>
      <c r="AN239" s="168"/>
      <c r="AO239" s="168"/>
      <c r="AP239" s="168"/>
      <c r="AQ239" s="168"/>
      <c r="AR239" s="168"/>
      <c r="AS239" s="168"/>
      <c r="AT239" s="168"/>
      <c r="AU239" s="168"/>
      <c r="AV239" s="168"/>
      <c r="AW239" s="168"/>
      <c r="AX239" s="168"/>
      <c r="AY239" s="168"/>
    </row>
    <row r="240" spans="1:51" s="40" customFormat="1" x14ac:dyDescent="0.3">
      <c r="A240" s="168"/>
      <c r="K240" s="168"/>
      <c r="Y240" s="44"/>
      <c r="AC240" s="168"/>
      <c r="AG240" s="168"/>
      <c r="AH240" s="168"/>
      <c r="AI240" s="168"/>
      <c r="AJ240" s="168"/>
      <c r="AK240" s="168"/>
      <c r="AL240" s="168"/>
      <c r="AM240" s="168"/>
      <c r="AN240" s="168"/>
      <c r="AO240" s="168"/>
      <c r="AP240" s="168"/>
      <c r="AQ240" s="168"/>
      <c r="AR240" s="168"/>
      <c r="AS240" s="168"/>
      <c r="AT240" s="168"/>
      <c r="AU240" s="168"/>
      <c r="AV240" s="168"/>
      <c r="AW240" s="168"/>
      <c r="AX240" s="168"/>
      <c r="AY240" s="168"/>
    </row>
    <row r="241" spans="1:51" s="40" customFormat="1" x14ac:dyDescent="0.3">
      <c r="A241" s="168"/>
      <c r="K241" s="168"/>
      <c r="Y241" s="44"/>
      <c r="AC241" s="168"/>
      <c r="AG241" s="168"/>
      <c r="AH241" s="168"/>
      <c r="AI241" s="168"/>
      <c r="AJ241" s="168"/>
      <c r="AK241" s="168"/>
      <c r="AL241" s="168"/>
      <c r="AM241" s="168"/>
      <c r="AN241" s="168"/>
      <c r="AO241" s="168"/>
      <c r="AP241" s="168"/>
      <c r="AQ241" s="168"/>
      <c r="AR241" s="168"/>
      <c r="AS241" s="168"/>
      <c r="AT241" s="168"/>
      <c r="AU241" s="168"/>
      <c r="AV241" s="168"/>
      <c r="AW241" s="168"/>
      <c r="AX241" s="168"/>
      <c r="AY241" s="168"/>
    </row>
    <row r="242" spans="1:51" s="40" customFormat="1" x14ac:dyDescent="0.3">
      <c r="A242" s="168"/>
      <c r="K242" s="168"/>
      <c r="Y242" s="44"/>
      <c r="AC242" s="168"/>
      <c r="AG242" s="168"/>
      <c r="AH242" s="168"/>
      <c r="AI242" s="168"/>
      <c r="AJ242" s="168"/>
      <c r="AK242" s="168"/>
      <c r="AL242" s="168"/>
      <c r="AM242" s="168"/>
      <c r="AN242" s="168"/>
      <c r="AO242" s="168"/>
      <c r="AP242" s="168"/>
      <c r="AQ242" s="168"/>
      <c r="AR242" s="168"/>
      <c r="AS242" s="168"/>
      <c r="AT242" s="168"/>
      <c r="AU242" s="168"/>
      <c r="AV242" s="168"/>
      <c r="AW242" s="168"/>
      <c r="AX242" s="168"/>
      <c r="AY242" s="168"/>
    </row>
    <row r="243" spans="1:51" s="40" customFormat="1" x14ac:dyDescent="0.3">
      <c r="A243" s="168"/>
      <c r="K243" s="168"/>
      <c r="Y243" s="44"/>
      <c r="AC243" s="168"/>
      <c r="AG243" s="168"/>
      <c r="AH243" s="168"/>
      <c r="AI243" s="168"/>
      <c r="AJ243" s="168"/>
      <c r="AK243" s="168"/>
      <c r="AL243" s="168"/>
      <c r="AM243" s="168"/>
      <c r="AN243" s="168"/>
      <c r="AO243" s="168"/>
      <c r="AP243" s="168"/>
      <c r="AQ243" s="168"/>
      <c r="AR243" s="168"/>
      <c r="AS243" s="168"/>
      <c r="AT243" s="168"/>
      <c r="AU243" s="168"/>
      <c r="AV243" s="168"/>
      <c r="AW243" s="168"/>
      <c r="AX243" s="168"/>
      <c r="AY243" s="168"/>
    </row>
    <row r="244" spans="1:51" s="40" customFormat="1" x14ac:dyDescent="0.3">
      <c r="A244" s="168"/>
      <c r="K244" s="168"/>
      <c r="Y244" s="44"/>
      <c r="AC244" s="168"/>
      <c r="AG244" s="168"/>
      <c r="AH244" s="168"/>
      <c r="AI244" s="168"/>
      <c r="AJ244" s="168"/>
      <c r="AK244" s="168"/>
      <c r="AL244" s="168"/>
      <c r="AM244" s="168"/>
      <c r="AN244" s="168"/>
      <c r="AO244" s="168"/>
      <c r="AP244" s="168"/>
      <c r="AQ244" s="168"/>
      <c r="AR244" s="168"/>
      <c r="AS244" s="168"/>
      <c r="AT244" s="168"/>
      <c r="AU244" s="168"/>
      <c r="AV244" s="168"/>
      <c r="AW244" s="168"/>
      <c r="AX244" s="168"/>
      <c r="AY244" s="168"/>
    </row>
    <row r="245" spans="1:51" s="40" customFormat="1" x14ac:dyDescent="0.3">
      <c r="A245" s="168"/>
      <c r="K245" s="168"/>
      <c r="Y245" s="44"/>
      <c r="AC245" s="168"/>
      <c r="AG245" s="168"/>
      <c r="AH245" s="168"/>
      <c r="AI245" s="168"/>
      <c r="AJ245" s="168"/>
      <c r="AK245" s="168"/>
      <c r="AL245" s="168"/>
      <c r="AM245" s="168"/>
      <c r="AN245" s="168"/>
      <c r="AO245" s="168"/>
      <c r="AP245" s="168"/>
      <c r="AQ245" s="168"/>
      <c r="AR245" s="168"/>
      <c r="AS245" s="168"/>
      <c r="AT245" s="168"/>
      <c r="AU245" s="168"/>
      <c r="AV245" s="168"/>
      <c r="AW245" s="168"/>
      <c r="AX245" s="168"/>
      <c r="AY245" s="168"/>
    </row>
    <row r="246" spans="1:51" s="40" customFormat="1" x14ac:dyDescent="0.3">
      <c r="A246" s="168"/>
      <c r="K246" s="168"/>
      <c r="Y246" s="44"/>
      <c r="AC246" s="168"/>
      <c r="AG246" s="168"/>
      <c r="AH246" s="168"/>
      <c r="AI246" s="168"/>
      <c r="AJ246" s="168"/>
      <c r="AK246" s="168"/>
      <c r="AL246" s="168"/>
      <c r="AM246" s="168"/>
      <c r="AN246" s="168"/>
      <c r="AO246" s="168"/>
      <c r="AP246" s="168"/>
      <c r="AQ246" s="168"/>
      <c r="AR246" s="168"/>
      <c r="AS246" s="168"/>
      <c r="AT246" s="168"/>
      <c r="AU246" s="168"/>
      <c r="AV246" s="168"/>
      <c r="AW246" s="168"/>
      <c r="AX246" s="168"/>
      <c r="AY246" s="168"/>
    </row>
    <row r="247" spans="1:51" s="40" customFormat="1" x14ac:dyDescent="0.3">
      <c r="A247" s="168"/>
      <c r="K247" s="168"/>
      <c r="Y247" s="44"/>
      <c r="AC247" s="168"/>
      <c r="AG247" s="168"/>
      <c r="AH247" s="168"/>
      <c r="AI247" s="168"/>
      <c r="AJ247" s="168"/>
      <c r="AK247" s="168"/>
      <c r="AL247" s="168"/>
      <c r="AM247" s="168"/>
      <c r="AN247" s="168"/>
      <c r="AO247" s="168"/>
      <c r="AP247" s="168"/>
      <c r="AQ247" s="168"/>
      <c r="AR247" s="168"/>
      <c r="AS247" s="168"/>
      <c r="AT247" s="168"/>
      <c r="AU247" s="168"/>
      <c r="AV247" s="168"/>
      <c r="AW247" s="168"/>
      <c r="AX247" s="168"/>
      <c r="AY247" s="168"/>
    </row>
    <row r="248" spans="1:51" s="40" customFormat="1" x14ac:dyDescent="0.3">
      <c r="A248" s="168"/>
      <c r="K248" s="168"/>
      <c r="Y248" s="44"/>
      <c r="AC248" s="168"/>
      <c r="AG248" s="168"/>
      <c r="AH248" s="168"/>
      <c r="AI248" s="168"/>
      <c r="AJ248" s="168"/>
      <c r="AK248" s="168"/>
      <c r="AL248" s="168"/>
      <c r="AM248" s="168"/>
      <c r="AN248" s="168"/>
      <c r="AO248" s="168"/>
      <c r="AP248" s="168"/>
      <c r="AQ248" s="168"/>
      <c r="AR248" s="168"/>
      <c r="AS248" s="168"/>
      <c r="AT248" s="168"/>
      <c r="AU248" s="168"/>
      <c r="AV248" s="168"/>
      <c r="AW248" s="168"/>
      <c r="AX248" s="168"/>
      <c r="AY248" s="168"/>
    </row>
    <row r="249" spans="1:51" s="40" customFormat="1" x14ac:dyDescent="0.3">
      <c r="A249" s="168"/>
      <c r="K249" s="168"/>
      <c r="Y249" s="44"/>
      <c r="AC249" s="168"/>
      <c r="AG249" s="168"/>
      <c r="AH249" s="168"/>
      <c r="AI249" s="168"/>
      <c r="AJ249" s="168"/>
      <c r="AK249" s="168"/>
      <c r="AL249" s="168"/>
      <c r="AM249" s="168"/>
      <c r="AN249" s="168"/>
      <c r="AO249" s="168"/>
      <c r="AP249" s="168"/>
      <c r="AQ249" s="168"/>
      <c r="AR249" s="168"/>
      <c r="AS249" s="168"/>
      <c r="AT249" s="168"/>
      <c r="AU249" s="168"/>
      <c r="AV249" s="168"/>
      <c r="AW249" s="168"/>
      <c r="AX249" s="168"/>
      <c r="AY249" s="168"/>
    </row>
    <row r="250" spans="1:51" s="40" customFormat="1" x14ac:dyDescent="0.3">
      <c r="A250" s="168"/>
      <c r="K250" s="168"/>
      <c r="Y250" s="44"/>
      <c r="AC250" s="168"/>
      <c r="AG250" s="168"/>
      <c r="AH250" s="168"/>
      <c r="AI250" s="168"/>
      <c r="AJ250" s="168"/>
      <c r="AK250" s="168"/>
      <c r="AL250" s="168"/>
      <c r="AM250" s="168"/>
      <c r="AN250" s="168"/>
      <c r="AO250" s="168"/>
      <c r="AP250" s="168"/>
      <c r="AQ250" s="168"/>
      <c r="AR250" s="168"/>
      <c r="AS250" s="168"/>
      <c r="AT250" s="168"/>
      <c r="AU250" s="168"/>
      <c r="AV250" s="168"/>
      <c r="AW250" s="168"/>
      <c r="AX250" s="168"/>
      <c r="AY250" s="168"/>
    </row>
    <row r="251" spans="1:51" s="40" customFormat="1" x14ac:dyDescent="0.3">
      <c r="A251" s="168"/>
      <c r="K251" s="168"/>
      <c r="Y251" s="44"/>
      <c r="AC251" s="168"/>
      <c r="AG251" s="168"/>
      <c r="AH251" s="168"/>
      <c r="AI251" s="168"/>
      <c r="AJ251" s="168"/>
      <c r="AK251" s="168"/>
      <c r="AL251" s="168"/>
      <c r="AM251" s="168"/>
      <c r="AN251" s="168"/>
      <c r="AO251" s="168"/>
      <c r="AP251" s="168"/>
      <c r="AQ251" s="168"/>
      <c r="AR251" s="168"/>
      <c r="AS251" s="168"/>
      <c r="AT251" s="168"/>
      <c r="AU251" s="168"/>
      <c r="AV251" s="168"/>
      <c r="AW251" s="168"/>
      <c r="AX251" s="168"/>
      <c r="AY251" s="168"/>
    </row>
    <row r="252" spans="1:51" s="40" customFormat="1" x14ac:dyDescent="0.3">
      <c r="A252" s="168"/>
      <c r="K252" s="168"/>
      <c r="Y252" s="44"/>
      <c r="AC252" s="168"/>
      <c r="AG252" s="168"/>
      <c r="AH252" s="168"/>
      <c r="AI252" s="168"/>
      <c r="AJ252" s="168"/>
      <c r="AK252" s="168"/>
      <c r="AL252" s="168"/>
      <c r="AM252" s="168"/>
      <c r="AN252" s="168"/>
      <c r="AO252" s="168"/>
      <c r="AP252" s="168"/>
      <c r="AQ252" s="168"/>
      <c r="AR252" s="168"/>
      <c r="AS252" s="168"/>
      <c r="AT252" s="168"/>
      <c r="AU252" s="168"/>
      <c r="AV252" s="168"/>
      <c r="AW252" s="168"/>
      <c r="AX252" s="168"/>
      <c r="AY252" s="168"/>
    </row>
    <row r="253" spans="1:51" s="40" customFormat="1" x14ac:dyDescent="0.3">
      <c r="A253" s="168"/>
      <c r="K253" s="168"/>
      <c r="Y253" s="44"/>
      <c r="AC253" s="168"/>
      <c r="AG253" s="168"/>
      <c r="AH253" s="168"/>
      <c r="AI253" s="168"/>
      <c r="AJ253" s="168"/>
      <c r="AK253" s="168"/>
      <c r="AL253" s="168"/>
      <c r="AM253" s="168"/>
      <c r="AN253" s="168"/>
      <c r="AO253" s="168"/>
      <c r="AP253" s="168"/>
      <c r="AQ253" s="168"/>
      <c r="AR253" s="168"/>
      <c r="AS253" s="168"/>
      <c r="AT253" s="168"/>
      <c r="AU253" s="168"/>
      <c r="AV253" s="168"/>
      <c r="AW253" s="168"/>
      <c r="AX253" s="168"/>
      <c r="AY253" s="168"/>
    </row>
    <row r="254" spans="1:51" s="40" customFormat="1" x14ac:dyDescent="0.3">
      <c r="A254" s="168"/>
      <c r="K254" s="168"/>
      <c r="Y254" s="44"/>
      <c r="AC254" s="168"/>
      <c r="AG254" s="168"/>
      <c r="AH254" s="168"/>
      <c r="AI254" s="168"/>
      <c r="AJ254" s="168"/>
      <c r="AK254" s="168"/>
      <c r="AL254" s="168"/>
      <c r="AM254" s="168"/>
      <c r="AN254" s="168"/>
      <c r="AO254" s="168"/>
      <c r="AP254" s="168"/>
      <c r="AQ254" s="168"/>
      <c r="AR254" s="168"/>
      <c r="AS254" s="168"/>
      <c r="AT254" s="168"/>
      <c r="AU254" s="168"/>
      <c r="AV254" s="168"/>
      <c r="AW254" s="168"/>
      <c r="AX254" s="168"/>
      <c r="AY254" s="168"/>
    </row>
    <row r="255" spans="1:51" s="40" customFormat="1" x14ac:dyDescent="0.3">
      <c r="A255" s="168"/>
      <c r="B255" s="14"/>
      <c r="C255" s="14"/>
      <c r="D255" s="14"/>
      <c r="E255" s="14"/>
      <c r="F255" s="14"/>
      <c r="G255" s="14"/>
      <c r="H255" s="14"/>
      <c r="I255" s="14"/>
      <c r="J255" s="14"/>
      <c r="K255" s="168"/>
      <c r="L255" s="14"/>
      <c r="M255" s="14"/>
      <c r="N255" s="14"/>
      <c r="O255" s="14"/>
      <c r="P255" s="14"/>
      <c r="Q255" s="14"/>
      <c r="R255" s="14"/>
      <c r="S255" s="14"/>
      <c r="T255" s="14"/>
      <c r="U255" s="14"/>
      <c r="V255" s="14"/>
      <c r="Y255" s="44"/>
      <c r="AC255" s="168"/>
      <c r="AG255" s="168"/>
      <c r="AH255" s="168"/>
      <c r="AI255" s="168"/>
      <c r="AJ255" s="168"/>
      <c r="AK255" s="168"/>
      <c r="AL255" s="168"/>
      <c r="AM255" s="168"/>
      <c r="AN255" s="168"/>
      <c r="AO255" s="168"/>
      <c r="AP255" s="168"/>
      <c r="AQ255" s="168"/>
      <c r="AR255" s="168"/>
      <c r="AS255" s="168"/>
      <c r="AT255" s="168"/>
      <c r="AU255" s="168"/>
      <c r="AV255" s="168"/>
      <c r="AW255" s="168"/>
      <c r="AX255" s="168"/>
      <c r="AY255" s="168"/>
    </row>
    <row r="256" spans="1:51" s="40" customFormat="1" x14ac:dyDescent="0.3">
      <c r="A256" s="168"/>
      <c r="B256" s="14"/>
      <c r="C256" s="14"/>
      <c r="D256" s="14"/>
      <c r="E256" s="14"/>
      <c r="F256" s="14"/>
      <c r="G256" s="14"/>
      <c r="H256" s="14"/>
      <c r="I256" s="14"/>
      <c r="J256" s="14"/>
      <c r="K256" s="168"/>
      <c r="L256" s="14"/>
      <c r="M256" s="14"/>
      <c r="N256" s="14"/>
      <c r="O256" s="14"/>
      <c r="P256" s="14"/>
      <c r="Q256" s="14"/>
      <c r="R256" s="14"/>
      <c r="S256" s="14"/>
      <c r="T256" s="14"/>
      <c r="U256" s="14"/>
      <c r="V256" s="14"/>
      <c r="Y256" s="44"/>
      <c r="AC256" s="168"/>
      <c r="AG256" s="168"/>
      <c r="AH256" s="168"/>
      <c r="AI256" s="168"/>
      <c r="AJ256" s="168"/>
      <c r="AK256" s="168"/>
      <c r="AL256" s="168"/>
      <c r="AM256" s="168"/>
      <c r="AN256" s="168"/>
      <c r="AO256" s="168"/>
      <c r="AP256" s="168"/>
      <c r="AQ256" s="168"/>
      <c r="AR256" s="168"/>
      <c r="AS256" s="168"/>
      <c r="AT256" s="168"/>
      <c r="AU256" s="168"/>
      <c r="AV256" s="168"/>
      <c r="AW256" s="168"/>
      <c r="AX256" s="168"/>
      <c r="AY256" s="168"/>
    </row>
    <row r="257" spans="1:51" s="40" customFormat="1" x14ac:dyDescent="0.3">
      <c r="A257" s="168"/>
      <c r="B257" s="14"/>
      <c r="C257" s="14"/>
      <c r="D257" s="14"/>
      <c r="E257" s="14"/>
      <c r="F257" s="14"/>
      <c r="G257" s="14"/>
      <c r="H257" s="14"/>
      <c r="I257" s="14"/>
      <c r="J257" s="14"/>
      <c r="K257" s="168"/>
      <c r="L257" s="14"/>
      <c r="M257" s="14"/>
      <c r="N257" s="14"/>
      <c r="O257" s="14"/>
      <c r="P257" s="14"/>
      <c r="Q257" s="14"/>
      <c r="R257" s="14"/>
      <c r="S257" s="14"/>
      <c r="T257" s="14"/>
      <c r="U257" s="14"/>
      <c r="V257" s="14"/>
      <c r="W257" s="14"/>
      <c r="X257" s="14"/>
      <c r="Y257" s="25"/>
      <c r="Z257" s="14"/>
      <c r="AA257" s="14"/>
      <c r="AB257" s="14"/>
      <c r="AC257" s="168"/>
      <c r="AD257" s="27"/>
      <c r="AE257" s="27"/>
      <c r="AF257" s="27"/>
      <c r="AG257" s="168"/>
      <c r="AH257" s="168"/>
      <c r="AI257" s="168"/>
      <c r="AJ257" s="168"/>
      <c r="AK257" s="168"/>
      <c r="AL257" s="168"/>
      <c r="AM257" s="168"/>
      <c r="AN257" s="168"/>
      <c r="AO257" s="168"/>
      <c r="AP257" s="168"/>
      <c r="AQ257" s="168"/>
      <c r="AR257" s="168"/>
      <c r="AS257" s="168"/>
      <c r="AT257" s="168"/>
      <c r="AU257" s="168"/>
      <c r="AV257" s="168"/>
      <c r="AW257" s="168"/>
      <c r="AX257" s="168"/>
      <c r="AY257" s="168"/>
    </row>
  </sheetData>
  <mergeCells count="63">
    <mergeCell ref="H19:I19"/>
    <mergeCell ref="H20:I20"/>
    <mergeCell ref="B22:B24"/>
    <mergeCell ref="C22:C24"/>
    <mergeCell ref="D22:D24"/>
    <mergeCell ref="E22:E24"/>
    <mergeCell ref="F22:F24"/>
    <mergeCell ref="G22:G24"/>
    <mergeCell ref="E77:E78"/>
    <mergeCell ref="F77:F78"/>
    <mergeCell ref="G77:G78"/>
    <mergeCell ref="W56:W58"/>
    <mergeCell ref="W53:AB55"/>
    <mergeCell ref="B45:B47"/>
    <mergeCell ref="B74:J76"/>
    <mergeCell ref="C45:C47"/>
    <mergeCell ref="D45:D47"/>
    <mergeCell ref="E45:E47"/>
    <mergeCell ref="F45:F47"/>
    <mergeCell ref="F60:F62"/>
    <mergeCell ref="G60:G62"/>
    <mergeCell ref="I61:I62"/>
    <mergeCell ref="B57:J59"/>
    <mergeCell ref="L31:L33"/>
    <mergeCell ref="N32:N33"/>
    <mergeCell ref="O32:O33"/>
    <mergeCell ref="H31:H33"/>
    <mergeCell ref="I31:I33"/>
    <mergeCell ref="J31:J33"/>
    <mergeCell ref="AA37:AA38"/>
    <mergeCell ref="W28:X30"/>
    <mergeCell ref="W36:W38"/>
    <mergeCell ref="W19:Z21"/>
    <mergeCell ref="AA20:AA21"/>
    <mergeCell ref="AA29:AA30"/>
    <mergeCell ref="B31:B33"/>
    <mergeCell ref="C31:C33"/>
    <mergeCell ref="D31:D33"/>
    <mergeCell ref="G31:G33"/>
    <mergeCell ref="F31:F33"/>
    <mergeCell ref="E31:E33"/>
    <mergeCell ref="B1:J1"/>
    <mergeCell ref="B12:B14"/>
    <mergeCell ref="W1:AB1"/>
    <mergeCell ref="W11:X13"/>
    <mergeCell ref="AA12:AA13"/>
    <mergeCell ref="F5:G9"/>
    <mergeCell ref="B2:D4"/>
    <mergeCell ref="W2:Z4"/>
    <mergeCell ref="W44:Y46"/>
    <mergeCell ref="AA45:AA47"/>
    <mergeCell ref="AB46:AB47"/>
    <mergeCell ref="AB80:AB81"/>
    <mergeCell ref="W79:X81"/>
    <mergeCell ref="Z80:Z81"/>
    <mergeCell ref="AA79:AA81"/>
    <mergeCell ref="AA56:AA58"/>
    <mergeCell ref="AB71:AB74"/>
    <mergeCell ref="W71:W74"/>
    <mergeCell ref="AA71:AA74"/>
    <mergeCell ref="Z72:Z74"/>
    <mergeCell ref="Z56:Z58"/>
    <mergeCell ref="AB56:AB58"/>
  </mergeCells>
  <dataValidations count="8">
    <dataValidation type="list" allowBlank="1" showInputMessage="1" showErrorMessage="1" sqref="D34:D43">
      <formula1>$R$31:$U$31</formula1>
    </dataValidation>
    <dataValidation type="list" allowBlank="1" showInputMessage="1" showErrorMessage="1" sqref="I34:I43">
      <formula1>$R$30:$V$30</formula1>
    </dataValidation>
    <dataValidation type="list" allowBlank="1" showInputMessage="1" showErrorMessage="1" sqref="G34:G43 D25:D29">
      <formula1>$R$25:$T$25</formula1>
    </dataValidation>
    <dataValidation type="list" allowBlank="1" showInputMessage="1" showErrorMessage="1" sqref="E34:E43 D48:D55">
      <formula1>$R$34:$S$34</formula1>
    </dataValidation>
    <dataValidation type="list" allowBlank="1" showInputMessage="1" showErrorMessage="1" sqref="F25:F29">
      <formula1>$R$26:$T$26</formula1>
    </dataValidation>
    <dataValidation type="list" allowBlank="1" showInputMessage="1" showErrorMessage="1" sqref="Z31:Z34 Z14:Z17 Z22:Z26">
      <formula1>$AD$11:$AE$11</formula1>
    </dataValidation>
    <dataValidation type="list" allowBlank="1" showInputMessage="1" showErrorMessage="1" sqref="Z39:Z42">
      <formula1>$AD$11:$AF$11</formula1>
    </dataValidation>
    <dataValidation type="list" allowBlank="1" showInputMessage="1" showErrorMessage="1" sqref="E50:E55">
      <formula1>$R$48:$S$48</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Title</vt:lpstr>
      <vt:lpstr>Bull vs AI</vt:lpstr>
      <vt:lpstr>AIPregRate</vt:lpstr>
      <vt:lpstr>AISystemPregRate</vt:lpstr>
      <vt:lpstr>AIWeanRate</vt:lpstr>
      <vt:lpstr>AverageBullValue</vt:lpstr>
      <vt:lpstr>BullCost</vt:lpstr>
      <vt:lpstr>BullCullValue</vt:lpstr>
      <vt:lpstr>BullDeaths</vt:lpstr>
      <vt:lpstr>BullInjury</vt:lpstr>
      <vt:lpstr>BullLife</vt:lpstr>
      <vt:lpstr>BullSalePrice</vt:lpstr>
      <vt:lpstr>BullSaleWeight</vt:lpstr>
      <vt:lpstr>CalfValue</vt:lpstr>
      <vt:lpstr>CleanupBulls</vt:lpstr>
      <vt:lpstr>FirstAIPregRate</vt:lpstr>
      <vt:lpstr>HerdSize</vt:lpstr>
      <vt:lpstr>InterestRate</vt:lpstr>
      <vt:lpstr>NatBulls</vt:lpstr>
      <vt:lpstr>NatPregRate</vt:lpstr>
      <vt:lpstr>NatWeanRate</vt:lpstr>
      <vt:lpstr>SecondAIPregRate</vt:lpstr>
      <vt:lpstr>WageRate</vt:lpstr>
    </vt:vector>
  </TitlesOfParts>
  <Company>University of Nebraska-Lincoln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Kara D Heideman</cp:lastModifiedBy>
  <dcterms:created xsi:type="dcterms:W3CDTF">2015-03-31T13:33:13Z</dcterms:created>
  <dcterms:modified xsi:type="dcterms:W3CDTF">2015-05-21T20:39:23Z</dcterms:modified>
</cp:coreProperties>
</file>